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iver\Desktop\"/>
    </mc:Choice>
  </mc:AlternateContent>
  <bookViews>
    <workbookView xWindow="5460" yWindow="3900" windowWidth="21720" windowHeight="10545" tabRatio="867"/>
  </bookViews>
  <sheets>
    <sheet name="LOTTO 6aus49 (DE)" sheetId="1" r:id="rId1"/>
    <sheet name="PowerBall (US)" sheetId="6" r:id="rId2"/>
    <sheet name="MegaMillions (US)" sheetId="5" r:id="rId3"/>
    <sheet name="EuroJackpot (DE)" sheetId="3" r:id="rId4"/>
    <sheet name="EuroMillions (AT)" sheetId="4" r:id="rId5"/>
    <sheet name="LOTTO 6aus45 (AT)" sheetId="7" r:id="rId6"/>
    <sheet name="SuperLotto (LH)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7" l="1"/>
  <c r="S19" i="1" l="1"/>
  <c r="S18" i="1"/>
  <c r="S17" i="1"/>
  <c r="S16" i="1"/>
  <c r="S15" i="1"/>
  <c r="S14" i="1"/>
  <c r="S13" i="1"/>
  <c r="S12" i="1"/>
  <c r="V22" i="3"/>
  <c r="V21" i="3"/>
  <c r="V20" i="3"/>
  <c r="V19" i="3"/>
  <c r="V18" i="3"/>
  <c r="V17" i="3"/>
  <c r="V16" i="3"/>
  <c r="V15" i="3"/>
  <c r="V14" i="3"/>
  <c r="V13" i="3"/>
  <c r="V12" i="3"/>
  <c r="V11" i="3"/>
  <c r="W12" i="4"/>
  <c r="W23" i="4"/>
  <c r="W22" i="4"/>
  <c r="W21" i="4"/>
  <c r="W20" i="4"/>
  <c r="W19" i="4"/>
  <c r="W18" i="4"/>
  <c r="W17" i="4"/>
  <c r="W16" i="4"/>
  <c r="W15" i="4"/>
  <c r="W14" i="4"/>
  <c r="W13" i="4"/>
  <c r="W11" i="4"/>
  <c r="M18" i="9" l="1"/>
  <c r="Q18" i="9" l="1"/>
  <c r="S18" i="9" s="1"/>
  <c r="N14" i="9"/>
  <c r="N13" i="9"/>
  <c r="N12" i="9"/>
  <c r="P13" i="5"/>
  <c r="P12" i="5"/>
  <c r="P11" i="5"/>
  <c r="P13" i="6"/>
  <c r="P12" i="6"/>
  <c r="P11" i="6"/>
  <c r="K18" i="9" l="1"/>
  <c r="J18" i="9"/>
  <c r="I18" i="9"/>
  <c r="H18" i="9"/>
  <c r="G18" i="9"/>
  <c r="F18" i="9"/>
  <c r="K17" i="9"/>
  <c r="J17" i="9"/>
  <c r="I17" i="9"/>
  <c r="H17" i="9"/>
  <c r="G17" i="9"/>
  <c r="F17" i="9"/>
  <c r="K16" i="9"/>
  <c r="J16" i="9"/>
  <c r="I16" i="9"/>
  <c r="H16" i="9"/>
  <c r="G16" i="9"/>
  <c r="F16" i="9"/>
  <c r="K15" i="9"/>
  <c r="J15" i="9"/>
  <c r="I15" i="9"/>
  <c r="H15" i="9"/>
  <c r="G15" i="9"/>
  <c r="F15" i="9"/>
  <c r="K14" i="9"/>
  <c r="J14" i="9"/>
  <c r="I14" i="9"/>
  <c r="H14" i="9"/>
  <c r="G14" i="9"/>
  <c r="F14" i="9"/>
  <c r="K13" i="9"/>
  <c r="J13" i="9"/>
  <c r="I13" i="9"/>
  <c r="H13" i="9"/>
  <c r="G13" i="9"/>
  <c r="F13" i="9"/>
  <c r="K12" i="9"/>
  <c r="J12" i="9"/>
  <c r="I12" i="9"/>
  <c r="H12" i="9"/>
  <c r="G12" i="9"/>
  <c r="F12" i="9"/>
  <c r="K11" i="9"/>
  <c r="J11" i="9"/>
  <c r="I11" i="9"/>
  <c r="H11" i="9"/>
  <c r="G11" i="9"/>
  <c r="F11" i="9"/>
  <c r="E18" i="9"/>
  <c r="E17" i="9"/>
  <c r="E16" i="9"/>
  <c r="E15" i="9"/>
  <c r="E14" i="9"/>
  <c r="E13" i="9"/>
  <c r="E12" i="9"/>
  <c r="E11" i="9"/>
  <c r="P11" i="9" l="1"/>
  <c r="M17" i="9" l="1"/>
  <c r="D9" i="7"/>
  <c r="D9" i="9"/>
  <c r="P18" i="9"/>
  <c r="P17" i="9"/>
  <c r="P16" i="9"/>
  <c r="M16" i="9"/>
  <c r="P15" i="9"/>
  <c r="M15" i="9"/>
  <c r="P14" i="9"/>
  <c r="M14" i="9"/>
  <c r="P13" i="9"/>
  <c r="M13" i="9"/>
  <c r="P12" i="9"/>
  <c r="M12" i="9"/>
  <c r="B10" i="9"/>
  <c r="P9" i="9"/>
  <c r="S8" i="9"/>
  <c r="R8" i="9"/>
  <c r="R9" i="9" s="1"/>
  <c r="P8" i="9"/>
  <c r="N8" i="9"/>
  <c r="D8" i="9"/>
  <c r="B3" i="9"/>
  <c r="Q12" i="9" l="1"/>
  <c r="S12" i="9" s="1"/>
  <c r="Q16" i="9"/>
  <c r="S16" i="9" s="1"/>
  <c r="Q11" i="9"/>
  <c r="S11" i="9" s="1"/>
  <c r="Q13" i="9"/>
  <c r="S13" i="9" s="1"/>
  <c r="Q17" i="9"/>
  <c r="S17" i="9" s="1"/>
  <c r="Q14" i="9"/>
  <c r="S14" i="9" s="1"/>
  <c r="Q15" i="9"/>
  <c r="S15" i="9" s="1"/>
  <c r="S9" i="9"/>
  <c r="R11" i="9" l="1"/>
  <c r="O11" i="9"/>
  <c r="O16" i="9"/>
  <c r="R16" i="9"/>
  <c r="O14" i="9"/>
  <c r="R14" i="9"/>
  <c r="O13" i="9"/>
  <c r="R13" i="9"/>
  <c r="O15" i="9"/>
  <c r="R15" i="9"/>
  <c r="O12" i="9"/>
  <c r="R12" i="9"/>
  <c r="O17" i="9"/>
  <c r="R17" i="9"/>
  <c r="U11" i="9" l="1"/>
  <c r="U17" i="9"/>
  <c r="U15" i="9"/>
  <c r="U13" i="9"/>
  <c r="U14" i="9"/>
  <c r="U12" i="9"/>
  <c r="U16" i="9"/>
  <c r="L21" i="7" l="1"/>
  <c r="K21" i="7"/>
  <c r="J21" i="7"/>
  <c r="I21" i="7"/>
  <c r="H21" i="7"/>
  <c r="G21" i="7"/>
  <c r="F21" i="7"/>
  <c r="L20" i="7"/>
  <c r="K20" i="7"/>
  <c r="J20" i="7"/>
  <c r="I20" i="7"/>
  <c r="H20" i="7"/>
  <c r="G20" i="7"/>
  <c r="F20" i="7"/>
  <c r="L19" i="7"/>
  <c r="K19" i="7"/>
  <c r="J19" i="7"/>
  <c r="I19" i="7"/>
  <c r="H19" i="7"/>
  <c r="G19" i="7"/>
  <c r="F19" i="7"/>
  <c r="L18" i="7"/>
  <c r="K18" i="7"/>
  <c r="J18" i="7"/>
  <c r="I18" i="7"/>
  <c r="H18" i="7"/>
  <c r="G18" i="7"/>
  <c r="F18" i="7"/>
  <c r="L17" i="7"/>
  <c r="K17" i="7"/>
  <c r="J17" i="7"/>
  <c r="I17" i="7"/>
  <c r="H17" i="7"/>
  <c r="G17" i="7"/>
  <c r="F17" i="7"/>
  <c r="L16" i="7"/>
  <c r="K16" i="7"/>
  <c r="J16" i="7"/>
  <c r="I16" i="7"/>
  <c r="H16" i="7"/>
  <c r="G16" i="7"/>
  <c r="F16" i="7"/>
  <c r="L15" i="7"/>
  <c r="K15" i="7"/>
  <c r="J15" i="7"/>
  <c r="I15" i="7"/>
  <c r="H15" i="7"/>
  <c r="G15" i="7"/>
  <c r="F15" i="7"/>
  <c r="L14" i="7"/>
  <c r="K14" i="7"/>
  <c r="J14" i="7"/>
  <c r="I14" i="7"/>
  <c r="H14" i="7"/>
  <c r="G14" i="7"/>
  <c r="F14" i="7"/>
  <c r="L13" i="7"/>
  <c r="K13" i="7"/>
  <c r="J13" i="7"/>
  <c r="I13" i="7"/>
  <c r="H13" i="7"/>
  <c r="G13" i="7"/>
  <c r="F13" i="7"/>
  <c r="L12" i="7"/>
  <c r="K12" i="7"/>
  <c r="J12" i="7"/>
  <c r="I12" i="7"/>
  <c r="H12" i="7"/>
  <c r="G12" i="7"/>
  <c r="F12" i="7"/>
  <c r="L11" i="7"/>
  <c r="K11" i="7"/>
  <c r="J11" i="7"/>
  <c r="I11" i="7"/>
  <c r="H11" i="7"/>
  <c r="G11" i="7"/>
  <c r="F11" i="7"/>
  <c r="E21" i="7"/>
  <c r="E20" i="7"/>
  <c r="E19" i="7"/>
  <c r="E18" i="7"/>
  <c r="E17" i="7"/>
  <c r="E16" i="7"/>
  <c r="E15" i="7"/>
  <c r="E14" i="7"/>
  <c r="E13" i="7"/>
  <c r="E12" i="7"/>
  <c r="E11" i="7"/>
  <c r="Q8" i="7"/>
  <c r="Q11" i="7"/>
  <c r="Q9" i="7"/>
  <c r="T8" i="7" l="1"/>
  <c r="Q18" i="7" l="1"/>
  <c r="Q16" i="7"/>
  <c r="Q14" i="7"/>
  <c r="Q12" i="7"/>
  <c r="N21" i="7" l="1"/>
  <c r="N18" i="7"/>
  <c r="N17" i="7"/>
  <c r="N16" i="7"/>
  <c r="N15" i="7"/>
  <c r="N14" i="7"/>
  <c r="N13" i="7"/>
  <c r="N12" i="7"/>
  <c r="B10" i="7"/>
  <c r="S8" i="7"/>
  <c r="O8" i="7"/>
  <c r="D8" i="7"/>
  <c r="B3" i="7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R22" i="3"/>
  <c r="R21" i="3"/>
  <c r="R20" i="3"/>
  <c r="R19" i="3"/>
  <c r="R18" i="3"/>
  <c r="R17" i="3"/>
  <c r="R16" i="3"/>
  <c r="R15" i="3"/>
  <c r="R14" i="3"/>
  <c r="R13" i="3"/>
  <c r="R12" i="3"/>
  <c r="R11" i="3"/>
  <c r="O19" i="5"/>
  <c r="O18" i="5"/>
  <c r="O17" i="5"/>
  <c r="O16" i="5"/>
  <c r="O15" i="5"/>
  <c r="O14" i="5"/>
  <c r="O13" i="5"/>
  <c r="O12" i="5"/>
  <c r="O11" i="5"/>
  <c r="O19" i="6"/>
  <c r="O18" i="6"/>
  <c r="O17" i="6"/>
  <c r="O16" i="6"/>
  <c r="O15" i="6"/>
  <c r="O14" i="6"/>
  <c r="O13" i="6"/>
  <c r="O12" i="6"/>
  <c r="O11" i="6"/>
  <c r="O19" i="1"/>
  <c r="O18" i="1"/>
  <c r="O17" i="1"/>
  <c r="O16" i="1"/>
  <c r="O15" i="1"/>
  <c r="O14" i="1"/>
  <c r="O13" i="1"/>
  <c r="O12" i="1"/>
  <c r="O11" i="1"/>
  <c r="S19" i="6" l="1"/>
  <c r="S15" i="6"/>
  <c r="S11" i="6"/>
  <c r="S16" i="6"/>
  <c r="S18" i="6"/>
  <c r="S14" i="6"/>
  <c r="S17" i="6"/>
  <c r="S13" i="6"/>
  <c r="S12" i="6"/>
  <c r="S11" i="1"/>
  <c r="R20" i="7"/>
  <c r="T20" i="7" s="1"/>
  <c r="R16" i="7"/>
  <c r="T16" i="7" s="1"/>
  <c r="R12" i="7"/>
  <c r="T12" i="7" s="1"/>
  <c r="R14" i="7"/>
  <c r="T14" i="7" s="1"/>
  <c r="R21" i="7"/>
  <c r="T21" i="7" s="1"/>
  <c r="R19" i="7"/>
  <c r="T19" i="7" s="1"/>
  <c r="R15" i="7"/>
  <c r="T15" i="7" s="1"/>
  <c r="R11" i="7"/>
  <c r="T11" i="7" s="1"/>
  <c r="R18" i="7"/>
  <c r="T18" i="7" s="1"/>
  <c r="R17" i="7"/>
  <c r="T17" i="7" s="1"/>
  <c r="R13" i="7"/>
  <c r="T13" i="7" s="1"/>
  <c r="S9" i="7"/>
  <c r="T9" i="7"/>
  <c r="Q21" i="7"/>
  <c r="Q17" i="7"/>
  <c r="Q13" i="7"/>
  <c r="Q20" i="7"/>
  <c r="Q19" i="7"/>
  <c r="Q15" i="7"/>
  <c r="V8" i="4"/>
  <c r="U8" i="3"/>
  <c r="R8" i="6"/>
  <c r="R8" i="5"/>
  <c r="R8" i="1"/>
  <c r="P8" i="1"/>
  <c r="P8" i="5"/>
  <c r="P8" i="6"/>
  <c r="S8" i="3"/>
  <c r="T8" i="4"/>
  <c r="M19" i="6"/>
  <c r="L19" i="6"/>
  <c r="K19" i="6"/>
  <c r="J19" i="6"/>
  <c r="I19" i="6"/>
  <c r="H19" i="6"/>
  <c r="G19" i="6"/>
  <c r="F19" i="6"/>
  <c r="E19" i="6"/>
  <c r="M18" i="6"/>
  <c r="L18" i="6"/>
  <c r="K18" i="6"/>
  <c r="J18" i="6"/>
  <c r="I18" i="6"/>
  <c r="H18" i="6"/>
  <c r="G18" i="6"/>
  <c r="F18" i="6"/>
  <c r="E18" i="6"/>
  <c r="M17" i="6"/>
  <c r="L17" i="6"/>
  <c r="K17" i="6"/>
  <c r="J17" i="6"/>
  <c r="I17" i="6"/>
  <c r="H17" i="6"/>
  <c r="G17" i="6"/>
  <c r="F17" i="6"/>
  <c r="E17" i="6"/>
  <c r="R16" i="6"/>
  <c r="M16" i="6"/>
  <c r="L16" i="6"/>
  <c r="K16" i="6"/>
  <c r="J16" i="6"/>
  <c r="I16" i="6"/>
  <c r="H16" i="6"/>
  <c r="G16" i="6"/>
  <c r="F16" i="6"/>
  <c r="E16" i="6"/>
  <c r="M15" i="6"/>
  <c r="L15" i="6"/>
  <c r="K15" i="6"/>
  <c r="J15" i="6"/>
  <c r="I15" i="6"/>
  <c r="H15" i="6"/>
  <c r="G15" i="6"/>
  <c r="F15" i="6"/>
  <c r="E15" i="6"/>
  <c r="R14" i="6"/>
  <c r="M14" i="6"/>
  <c r="L14" i="6"/>
  <c r="K14" i="6"/>
  <c r="J14" i="6"/>
  <c r="I14" i="6"/>
  <c r="H14" i="6"/>
  <c r="G14" i="6"/>
  <c r="F14" i="6"/>
  <c r="E14" i="6"/>
  <c r="M13" i="6"/>
  <c r="L13" i="6"/>
  <c r="K13" i="6"/>
  <c r="J13" i="6"/>
  <c r="I13" i="6"/>
  <c r="H13" i="6"/>
  <c r="G13" i="6"/>
  <c r="F13" i="6"/>
  <c r="E13" i="6"/>
  <c r="R12" i="6"/>
  <c r="M12" i="6"/>
  <c r="L12" i="6"/>
  <c r="K12" i="6"/>
  <c r="J12" i="6"/>
  <c r="I12" i="6"/>
  <c r="H12" i="6"/>
  <c r="G12" i="6"/>
  <c r="F12" i="6"/>
  <c r="E12" i="6"/>
  <c r="M11" i="6"/>
  <c r="L11" i="6"/>
  <c r="K11" i="6"/>
  <c r="J11" i="6"/>
  <c r="I11" i="6"/>
  <c r="H11" i="6"/>
  <c r="G11" i="6"/>
  <c r="F11" i="6"/>
  <c r="E11" i="6"/>
  <c r="C10" i="6"/>
  <c r="R19" i="6" s="1"/>
  <c r="B10" i="6"/>
  <c r="R9" i="6"/>
  <c r="D9" i="6"/>
  <c r="U8" i="6"/>
  <c r="T8" i="6"/>
  <c r="T9" i="6" s="1"/>
  <c r="D8" i="6"/>
  <c r="B3" i="6"/>
  <c r="B2" i="6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U22" i="3"/>
  <c r="U21" i="3"/>
  <c r="U20" i="3"/>
  <c r="U19" i="3"/>
  <c r="U18" i="3"/>
  <c r="U17" i="3"/>
  <c r="U16" i="3"/>
  <c r="U15" i="3"/>
  <c r="U14" i="3"/>
  <c r="U13" i="3"/>
  <c r="U12" i="3"/>
  <c r="U11" i="3"/>
  <c r="C10" i="4"/>
  <c r="B10" i="4"/>
  <c r="C10" i="3"/>
  <c r="B10" i="3"/>
  <c r="D9" i="4"/>
  <c r="D8" i="4"/>
  <c r="D9" i="3"/>
  <c r="D8" i="3"/>
  <c r="B3" i="4"/>
  <c r="B2" i="4"/>
  <c r="B3" i="3"/>
  <c r="B2" i="3"/>
  <c r="B3" i="1"/>
  <c r="B2" i="1"/>
  <c r="C10" i="1"/>
  <c r="R19" i="1" s="1"/>
  <c r="B10" i="1"/>
  <c r="D9" i="1"/>
  <c r="D8" i="1"/>
  <c r="R18" i="1"/>
  <c r="R16" i="1"/>
  <c r="R14" i="1"/>
  <c r="R12" i="1"/>
  <c r="R16" i="5"/>
  <c r="R14" i="5"/>
  <c r="R12" i="5"/>
  <c r="D9" i="5"/>
  <c r="C10" i="5"/>
  <c r="R18" i="5" s="1"/>
  <c r="B10" i="5"/>
  <c r="D8" i="5"/>
  <c r="B3" i="5"/>
  <c r="B2" i="5"/>
  <c r="S12" i="7" l="1"/>
  <c r="R11" i="5"/>
  <c r="P13" i="7"/>
  <c r="P12" i="7"/>
  <c r="P15" i="7"/>
  <c r="P20" i="7"/>
  <c r="P21" i="7"/>
  <c r="P17" i="7"/>
  <c r="P19" i="7"/>
  <c r="P14" i="7"/>
  <c r="P16" i="7"/>
  <c r="P18" i="7"/>
  <c r="V12" i="7"/>
  <c r="S13" i="7"/>
  <c r="V13" i="7" s="1"/>
  <c r="S14" i="7"/>
  <c r="V14" i="7" s="1"/>
  <c r="S18" i="7"/>
  <c r="V18" i="7" s="1"/>
  <c r="S15" i="7"/>
  <c r="V15" i="7" s="1"/>
  <c r="S17" i="7"/>
  <c r="V17" i="7" s="1"/>
  <c r="S19" i="7"/>
  <c r="V19" i="7" s="1"/>
  <c r="S21" i="7"/>
  <c r="V21" i="7" s="1"/>
  <c r="S20" i="7"/>
  <c r="V20" i="7" s="1"/>
  <c r="S16" i="7"/>
  <c r="V16" i="7" s="1"/>
  <c r="R15" i="5"/>
  <c r="R19" i="5"/>
  <c r="U16" i="6"/>
  <c r="U12" i="6"/>
  <c r="U17" i="6"/>
  <c r="U15" i="6"/>
  <c r="U11" i="6"/>
  <c r="U18" i="6"/>
  <c r="U14" i="6"/>
  <c r="U13" i="6"/>
  <c r="R13" i="5"/>
  <c r="R17" i="5"/>
  <c r="U9" i="6"/>
  <c r="R17" i="6"/>
  <c r="R11" i="6"/>
  <c r="R15" i="6"/>
  <c r="R13" i="6"/>
  <c r="R18" i="6"/>
  <c r="R13" i="1"/>
  <c r="R17" i="1"/>
  <c r="R11" i="1"/>
  <c r="R15" i="1"/>
  <c r="T5" i="7" l="1"/>
  <c r="T13" i="6"/>
  <c r="W13" i="6" s="1"/>
  <c r="Q13" i="6"/>
  <c r="T15" i="6"/>
  <c r="W15" i="6" s="1"/>
  <c r="Q15" i="6"/>
  <c r="T16" i="6"/>
  <c r="W16" i="6" s="1"/>
  <c r="Q16" i="6"/>
  <c r="T14" i="6"/>
  <c r="W14" i="6" s="1"/>
  <c r="Q14" i="6"/>
  <c r="T18" i="6"/>
  <c r="W18" i="6" s="1"/>
  <c r="Q18" i="6"/>
  <c r="T17" i="6"/>
  <c r="W17" i="6" s="1"/>
  <c r="Q17" i="6"/>
  <c r="T11" i="6"/>
  <c r="Q11" i="6"/>
  <c r="T12" i="6"/>
  <c r="W12" i="6" s="1"/>
  <c r="Q12" i="6"/>
  <c r="U19" i="6"/>
  <c r="U5" i="6" l="1"/>
  <c r="W11" i="6"/>
  <c r="T19" i="6"/>
  <c r="Q19" i="6"/>
  <c r="S20" i="6" s="1"/>
  <c r="U4" i="6" s="1"/>
  <c r="W19" i="6" l="1"/>
  <c r="W21" i="6" s="1"/>
  <c r="U2" i="6" s="1"/>
  <c r="T20" i="6"/>
  <c r="U20" i="6" s="1"/>
  <c r="T21" i="6"/>
  <c r="V18" i="6" l="1"/>
  <c r="V11" i="6"/>
  <c r="V14" i="6"/>
  <c r="V16" i="6"/>
  <c r="V15" i="6"/>
  <c r="V12" i="6"/>
  <c r="V19" i="6"/>
  <c r="V17" i="6"/>
  <c r="V13" i="6"/>
  <c r="M19" i="5"/>
  <c r="L19" i="5"/>
  <c r="K19" i="5"/>
  <c r="J19" i="5"/>
  <c r="I19" i="5"/>
  <c r="H19" i="5"/>
  <c r="G19" i="5"/>
  <c r="F19" i="5"/>
  <c r="E19" i="5"/>
  <c r="M18" i="5"/>
  <c r="L18" i="5"/>
  <c r="K18" i="5"/>
  <c r="J18" i="5"/>
  <c r="I18" i="5"/>
  <c r="H18" i="5"/>
  <c r="G18" i="5"/>
  <c r="F18" i="5"/>
  <c r="E18" i="5"/>
  <c r="M17" i="5"/>
  <c r="L17" i="5"/>
  <c r="K17" i="5"/>
  <c r="J17" i="5"/>
  <c r="I17" i="5"/>
  <c r="H17" i="5"/>
  <c r="G17" i="5"/>
  <c r="F17" i="5"/>
  <c r="E17" i="5"/>
  <c r="M16" i="5"/>
  <c r="L16" i="5"/>
  <c r="K16" i="5"/>
  <c r="J16" i="5"/>
  <c r="I16" i="5"/>
  <c r="H16" i="5"/>
  <c r="G16" i="5"/>
  <c r="F16" i="5"/>
  <c r="E16" i="5"/>
  <c r="M15" i="5"/>
  <c r="L15" i="5"/>
  <c r="K15" i="5"/>
  <c r="J15" i="5"/>
  <c r="I15" i="5"/>
  <c r="H15" i="5"/>
  <c r="G15" i="5"/>
  <c r="F15" i="5"/>
  <c r="E15" i="5"/>
  <c r="M14" i="5"/>
  <c r="L14" i="5"/>
  <c r="K14" i="5"/>
  <c r="J14" i="5"/>
  <c r="I14" i="5"/>
  <c r="H14" i="5"/>
  <c r="G14" i="5"/>
  <c r="F14" i="5"/>
  <c r="E14" i="5"/>
  <c r="M13" i="5"/>
  <c r="L13" i="5"/>
  <c r="K13" i="5"/>
  <c r="J13" i="5"/>
  <c r="I13" i="5"/>
  <c r="H13" i="5"/>
  <c r="G13" i="5"/>
  <c r="F13" i="5"/>
  <c r="E13" i="5"/>
  <c r="M12" i="5"/>
  <c r="L12" i="5"/>
  <c r="K12" i="5"/>
  <c r="J12" i="5"/>
  <c r="I12" i="5"/>
  <c r="H12" i="5"/>
  <c r="G12" i="5"/>
  <c r="F12" i="5"/>
  <c r="E12" i="5"/>
  <c r="M11" i="5"/>
  <c r="L11" i="5"/>
  <c r="K11" i="5"/>
  <c r="J11" i="5"/>
  <c r="I11" i="5"/>
  <c r="H11" i="5"/>
  <c r="G11" i="5"/>
  <c r="F11" i="5"/>
  <c r="E11" i="5"/>
  <c r="R9" i="5"/>
  <c r="U8" i="5"/>
  <c r="T8" i="5"/>
  <c r="T9" i="5" s="1"/>
  <c r="S16" i="5" l="1"/>
  <c r="S12" i="5"/>
  <c r="S19" i="5"/>
  <c r="S15" i="5"/>
  <c r="S11" i="5"/>
  <c r="U11" i="5" s="1"/>
  <c r="S17" i="5"/>
  <c r="S18" i="5"/>
  <c r="S14" i="5"/>
  <c r="S13" i="5"/>
  <c r="V21" i="6"/>
  <c r="U3" i="6" s="1"/>
  <c r="U19" i="5"/>
  <c r="Q19" i="5" s="1"/>
  <c r="U9" i="5"/>
  <c r="V9" i="4"/>
  <c r="U9" i="3"/>
  <c r="R9" i="1"/>
  <c r="T8" i="1"/>
  <c r="W8" i="3"/>
  <c r="X8" i="4"/>
  <c r="Y8" i="4"/>
  <c r="U8" i="1"/>
  <c r="X8" i="3"/>
  <c r="T19" i="5" l="1"/>
  <c r="W19" i="5" s="1"/>
  <c r="T11" i="5"/>
  <c r="W11" i="5" s="1"/>
  <c r="Q11" i="5"/>
  <c r="U18" i="5"/>
  <c r="U13" i="5"/>
  <c r="U14" i="5"/>
  <c r="U12" i="5"/>
  <c r="U17" i="5"/>
  <c r="U15" i="5"/>
  <c r="U16" i="5"/>
  <c r="X9" i="3"/>
  <c r="U9" i="1"/>
  <c r="T16" i="5" l="1"/>
  <c r="W16" i="5" s="1"/>
  <c r="Q16" i="5"/>
  <c r="T18" i="5"/>
  <c r="W18" i="5" s="1"/>
  <c r="Q18" i="5"/>
  <c r="T15" i="5"/>
  <c r="W15" i="5" s="1"/>
  <c r="Q15" i="5"/>
  <c r="T17" i="5"/>
  <c r="W17" i="5" s="1"/>
  <c r="Q17" i="5"/>
  <c r="T14" i="5"/>
  <c r="W14" i="5" s="1"/>
  <c r="Q14" i="5"/>
  <c r="T12" i="5"/>
  <c r="W12" i="5" s="1"/>
  <c r="Q12" i="5"/>
  <c r="U5" i="5" s="1"/>
  <c r="T13" i="5"/>
  <c r="W13" i="5" s="1"/>
  <c r="Q13" i="5"/>
  <c r="Y9" i="4"/>
  <c r="E19" i="1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P22" i="3"/>
  <c r="O22" i="3"/>
  <c r="N22" i="3"/>
  <c r="M22" i="3"/>
  <c r="L22" i="3"/>
  <c r="K22" i="3"/>
  <c r="J22" i="3"/>
  <c r="I22" i="3"/>
  <c r="H22" i="3"/>
  <c r="G22" i="3"/>
  <c r="F22" i="3"/>
  <c r="E22" i="3"/>
  <c r="P21" i="3"/>
  <c r="O21" i="3"/>
  <c r="N21" i="3"/>
  <c r="M21" i="3"/>
  <c r="L21" i="3"/>
  <c r="K21" i="3"/>
  <c r="J21" i="3"/>
  <c r="I21" i="3"/>
  <c r="H21" i="3"/>
  <c r="G21" i="3"/>
  <c r="F21" i="3"/>
  <c r="E21" i="3"/>
  <c r="P20" i="3"/>
  <c r="O20" i="3"/>
  <c r="N20" i="3"/>
  <c r="M20" i="3"/>
  <c r="L20" i="3"/>
  <c r="K20" i="3"/>
  <c r="J20" i="3"/>
  <c r="I20" i="3"/>
  <c r="H20" i="3"/>
  <c r="G20" i="3"/>
  <c r="F20" i="3"/>
  <c r="E20" i="3"/>
  <c r="P19" i="3"/>
  <c r="O19" i="3"/>
  <c r="N19" i="3"/>
  <c r="M19" i="3"/>
  <c r="L19" i="3"/>
  <c r="K19" i="3"/>
  <c r="J19" i="3"/>
  <c r="I19" i="3"/>
  <c r="H19" i="3"/>
  <c r="G19" i="3"/>
  <c r="F19" i="3"/>
  <c r="E19" i="3"/>
  <c r="P18" i="3"/>
  <c r="O18" i="3"/>
  <c r="N18" i="3"/>
  <c r="M18" i="3"/>
  <c r="L18" i="3"/>
  <c r="K18" i="3"/>
  <c r="J18" i="3"/>
  <c r="I18" i="3"/>
  <c r="H18" i="3"/>
  <c r="G18" i="3"/>
  <c r="F18" i="3"/>
  <c r="E18" i="3"/>
  <c r="P17" i="3"/>
  <c r="O17" i="3"/>
  <c r="N17" i="3"/>
  <c r="M17" i="3"/>
  <c r="L17" i="3"/>
  <c r="K17" i="3"/>
  <c r="J17" i="3"/>
  <c r="I17" i="3"/>
  <c r="H17" i="3"/>
  <c r="G17" i="3"/>
  <c r="F17" i="3"/>
  <c r="E17" i="3"/>
  <c r="P16" i="3"/>
  <c r="O16" i="3"/>
  <c r="N16" i="3"/>
  <c r="M16" i="3"/>
  <c r="L16" i="3"/>
  <c r="K16" i="3"/>
  <c r="J16" i="3"/>
  <c r="I16" i="3"/>
  <c r="H16" i="3"/>
  <c r="G16" i="3"/>
  <c r="F16" i="3"/>
  <c r="E16" i="3"/>
  <c r="P15" i="3"/>
  <c r="O15" i="3"/>
  <c r="N15" i="3"/>
  <c r="M15" i="3"/>
  <c r="L15" i="3"/>
  <c r="K15" i="3"/>
  <c r="J15" i="3"/>
  <c r="I15" i="3"/>
  <c r="H15" i="3"/>
  <c r="G15" i="3"/>
  <c r="F15" i="3"/>
  <c r="E15" i="3"/>
  <c r="P14" i="3"/>
  <c r="O14" i="3"/>
  <c r="N14" i="3"/>
  <c r="M14" i="3"/>
  <c r="L14" i="3"/>
  <c r="K14" i="3"/>
  <c r="J14" i="3"/>
  <c r="I14" i="3"/>
  <c r="H14" i="3"/>
  <c r="G14" i="3"/>
  <c r="F14" i="3"/>
  <c r="E14" i="3"/>
  <c r="P13" i="3"/>
  <c r="O13" i="3"/>
  <c r="N13" i="3"/>
  <c r="M13" i="3"/>
  <c r="L13" i="3"/>
  <c r="K13" i="3"/>
  <c r="J13" i="3"/>
  <c r="I13" i="3"/>
  <c r="H13" i="3"/>
  <c r="G13" i="3"/>
  <c r="F13" i="3"/>
  <c r="E13" i="3"/>
  <c r="P12" i="3"/>
  <c r="O12" i="3"/>
  <c r="N12" i="3"/>
  <c r="M12" i="3"/>
  <c r="L12" i="3"/>
  <c r="K12" i="3"/>
  <c r="J12" i="3"/>
  <c r="I12" i="3"/>
  <c r="H12" i="3"/>
  <c r="G12" i="3"/>
  <c r="F12" i="3"/>
  <c r="E12" i="3"/>
  <c r="P11" i="3"/>
  <c r="O11" i="3"/>
  <c r="N11" i="3"/>
  <c r="M11" i="3"/>
  <c r="L11" i="3"/>
  <c r="K11" i="3"/>
  <c r="J11" i="3"/>
  <c r="I11" i="3"/>
  <c r="H11" i="3"/>
  <c r="G11" i="3"/>
  <c r="F11" i="3"/>
  <c r="E11" i="3"/>
  <c r="E11" i="1"/>
  <c r="M19" i="1"/>
  <c r="L19" i="1"/>
  <c r="K19" i="1"/>
  <c r="J19" i="1"/>
  <c r="I19" i="1"/>
  <c r="H19" i="1"/>
  <c r="G19" i="1"/>
  <c r="F19" i="1"/>
  <c r="M18" i="1"/>
  <c r="L18" i="1"/>
  <c r="K18" i="1"/>
  <c r="J18" i="1"/>
  <c r="I18" i="1"/>
  <c r="H18" i="1"/>
  <c r="G18" i="1"/>
  <c r="F18" i="1"/>
  <c r="E18" i="1"/>
  <c r="M17" i="1"/>
  <c r="L17" i="1"/>
  <c r="K17" i="1"/>
  <c r="J17" i="1"/>
  <c r="I17" i="1"/>
  <c r="H17" i="1"/>
  <c r="G17" i="1"/>
  <c r="F17" i="1"/>
  <c r="E17" i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U14" i="1" l="1"/>
  <c r="Q14" i="1" s="1"/>
  <c r="U18" i="1"/>
  <c r="Q18" i="1" s="1"/>
  <c r="U12" i="1"/>
  <c r="Q12" i="1" s="1"/>
  <c r="U16" i="1"/>
  <c r="Q16" i="1" s="1"/>
  <c r="Y18" i="4"/>
  <c r="U18" i="4" s="1"/>
  <c r="Y22" i="4"/>
  <c r="U22" i="4" s="1"/>
  <c r="T21" i="5"/>
  <c r="V11" i="5" s="1"/>
  <c r="T20" i="5"/>
  <c r="U20" i="5" s="1"/>
  <c r="Y14" i="4"/>
  <c r="U14" i="4" s="1"/>
  <c r="S20" i="5"/>
  <c r="U4" i="5" s="1"/>
  <c r="X13" i="3"/>
  <c r="T13" i="3" s="1"/>
  <c r="X15" i="3"/>
  <c r="T15" i="3" s="1"/>
  <c r="X16" i="3"/>
  <c r="T16" i="3" s="1"/>
  <c r="Y11" i="4"/>
  <c r="Y15" i="4"/>
  <c r="U15" i="4" s="1"/>
  <c r="Y19" i="4"/>
  <c r="U19" i="4" s="1"/>
  <c r="X20" i="3"/>
  <c r="T20" i="3" s="1"/>
  <c r="Y12" i="4"/>
  <c r="U12" i="4" s="1"/>
  <c r="Y16" i="4"/>
  <c r="U16" i="4" s="1"/>
  <c r="Y20" i="4"/>
  <c r="U20" i="4" s="1"/>
  <c r="Y13" i="4"/>
  <c r="U13" i="4" s="1"/>
  <c r="Y17" i="4"/>
  <c r="U17" i="4" s="1"/>
  <c r="Y21" i="4"/>
  <c r="U21" i="4" s="1"/>
  <c r="X11" i="3"/>
  <c r="X14" i="3"/>
  <c r="T14" i="3" s="1"/>
  <c r="X17" i="3"/>
  <c r="T17" i="3" s="1"/>
  <c r="X18" i="3"/>
  <c r="T18" i="3" s="1"/>
  <c r="X19" i="3"/>
  <c r="T19" i="3" s="1"/>
  <c r="X21" i="3"/>
  <c r="T21" i="3" s="1"/>
  <c r="X22" i="3"/>
  <c r="T22" i="3" s="1"/>
  <c r="U15" i="1"/>
  <c r="Q15" i="1" s="1"/>
  <c r="U17" i="1"/>
  <c r="Q17" i="1" s="1"/>
  <c r="U19" i="1"/>
  <c r="Q19" i="1" s="1"/>
  <c r="U13" i="1"/>
  <c r="Q13" i="1" s="1"/>
  <c r="U11" i="1"/>
  <c r="X12" i="3"/>
  <c r="Y23" i="4"/>
  <c r="U23" i="4" s="1"/>
  <c r="W15" i="3"/>
  <c r="W21" i="5"/>
  <c r="U2" i="5" s="1"/>
  <c r="W13" i="3" l="1"/>
  <c r="X18" i="4"/>
  <c r="U11" i="4"/>
  <c r="Y5" i="4"/>
  <c r="T12" i="1"/>
  <c r="W12" i="1" s="1"/>
  <c r="T18" i="1"/>
  <c r="W18" i="1" s="1"/>
  <c r="X16" i="4"/>
  <c r="X15" i="4"/>
  <c r="X22" i="4"/>
  <c r="AA22" i="4" s="1"/>
  <c r="T16" i="1"/>
  <c r="W16" i="1" s="1"/>
  <c r="T15" i="1"/>
  <c r="W15" i="1" s="1"/>
  <c r="T14" i="1"/>
  <c r="W14" i="1" s="1"/>
  <c r="T17" i="1"/>
  <c r="W17" i="1" s="1"/>
  <c r="Q11" i="1"/>
  <c r="U5" i="1" s="1"/>
  <c r="X14" i="4"/>
  <c r="W16" i="3"/>
  <c r="Z16" i="3" s="1"/>
  <c r="T11" i="3"/>
  <c r="X5" i="3" s="1"/>
  <c r="V14" i="5"/>
  <c r="V17" i="5"/>
  <c r="V18" i="5"/>
  <c r="V15" i="5"/>
  <c r="V12" i="5"/>
  <c r="V16" i="5"/>
  <c r="V13" i="5"/>
  <c r="V19" i="5"/>
  <c r="X21" i="4"/>
  <c r="AA21" i="4" s="1"/>
  <c r="X19" i="4"/>
  <c r="AA19" i="4" s="1"/>
  <c r="W20" i="3"/>
  <c r="Z20" i="3" s="1"/>
  <c r="X20" i="4"/>
  <c r="AA20" i="4" s="1"/>
  <c r="W17" i="3"/>
  <c r="Z17" i="3" s="1"/>
  <c r="X11" i="4"/>
  <c r="AA11" i="4" s="1"/>
  <c r="X13" i="4"/>
  <c r="AA13" i="4" s="1"/>
  <c r="X12" i="4"/>
  <c r="AA12" i="4" s="1"/>
  <c r="X23" i="4"/>
  <c r="AA23" i="4" s="1"/>
  <c r="X17" i="4"/>
  <c r="AA17" i="4" s="1"/>
  <c r="W21" i="3"/>
  <c r="Z21" i="3" s="1"/>
  <c r="W14" i="3"/>
  <c r="Z14" i="3" s="1"/>
  <c r="W11" i="3"/>
  <c r="Z11" i="3" s="1"/>
  <c r="W19" i="3"/>
  <c r="Z19" i="3" s="1"/>
  <c r="W22" i="3"/>
  <c r="Z22" i="3" s="1"/>
  <c r="W18" i="3"/>
  <c r="Z18" i="3" s="1"/>
  <c r="W12" i="3"/>
  <c r="Z12" i="3" s="1"/>
  <c r="T12" i="3"/>
  <c r="T11" i="1"/>
  <c r="W11" i="1" s="1"/>
  <c r="T19" i="1"/>
  <c r="W19" i="1" s="1"/>
  <c r="T13" i="1"/>
  <c r="W13" i="1" s="1"/>
  <c r="AA16" i="4"/>
  <c r="AA15" i="4"/>
  <c r="AA18" i="4"/>
  <c r="AA14" i="4"/>
  <c r="Z13" i="3"/>
  <c r="Z15" i="3"/>
  <c r="X9" i="4"/>
  <c r="V21" i="5" l="1"/>
  <c r="U3" i="5" s="1"/>
  <c r="W24" i="4"/>
  <c r="Y4" i="4" s="1"/>
  <c r="W9" i="3" l="1"/>
  <c r="W23" i="3" l="1"/>
  <c r="X24" i="4"/>
  <c r="Y24" i="4" s="1"/>
  <c r="X25" i="4"/>
  <c r="V23" i="3"/>
  <c r="X4" i="3" s="1"/>
  <c r="Z21" i="4" l="1"/>
  <c r="Z13" i="4"/>
  <c r="Z18" i="4"/>
  <c r="Z20" i="4"/>
  <c r="Z12" i="4"/>
  <c r="Z14" i="4"/>
  <c r="Z19" i="4"/>
  <c r="Z15" i="4"/>
  <c r="Z11" i="4"/>
  <c r="Z23" i="4"/>
  <c r="Z16" i="4"/>
  <c r="Z17" i="4"/>
  <c r="Z22" i="4"/>
  <c r="AA25" i="4"/>
  <c r="Y2" i="4" s="1"/>
  <c r="Z24" i="3"/>
  <c r="X2" i="3" s="1"/>
  <c r="W24" i="3"/>
  <c r="X23" i="3"/>
  <c r="Y18" i="3" l="1"/>
  <c r="Y22" i="3"/>
  <c r="Y16" i="3"/>
  <c r="Y14" i="3"/>
  <c r="Y15" i="3"/>
  <c r="Y11" i="3"/>
  <c r="Y17" i="3"/>
  <c r="Y21" i="3"/>
  <c r="Y13" i="3"/>
  <c r="Y20" i="3"/>
  <c r="Y12" i="3"/>
  <c r="Y19" i="3"/>
  <c r="Z25" i="4"/>
  <c r="Y3" i="4" s="1"/>
  <c r="T9" i="1"/>
  <c r="S20" i="1" l="1"/>
  <c r="U4" i="1" s="1"/>
  <c r="Y24" i="3"/>
  <c r="X3" i="3" s="1"/>
  <c r="T20" i="1"/>
  <c r="U20" i="1" l="1"/>
  <c r="T21" i="1"/>
  <c r="V14" i="1" l="1"/>
  <c r="V11" i="1"/>
  <c r="V19" i="1"/>
  <c r="V12" i="1"/>
  <c r="V17" i="1"/>
  <c r="V18" i="1"/>
  <c r="V15" i="1"/>
  <c r="V16" i="1"/>
  <c r="V13" i="1"/>
  <c r="W21" i="1"/>
  <c r="U2" i="1" s="1"/>
  <c r="V21" i="1" l="1"/>
  <c r="U3" i="1" s="1"/>
  <c r="P11" i="7"/>
  <c r="R22" i="7" l="1"/>
  <c r="T4" i="7" s="1"/>
  <c r="S11" i="7"/>
  <c r="S22" i="7" s="1"/>
  <c r="T22" i="7" l="1"/>
  <c r="S23" i="7"/>
  <c r="V11" i="7"/>
  <c r="V23" i="7" s="1"/>
  <c r="T2" i="7" s="1"/>
  <c r="U21" i="7" l="1"/>
  <c r="U14" i="7"/>
  <c r="U13" i="7"/>
  <c r="U12" i="7"/>
  <c r="U15" i="7"/>
  <c r="U20" i="7"/>
  <c r="U19" i="7"/>
  <c r="U17" i="7"/>
  <c r="U18" i="7"/>
  <c r="U16" i="7"/>
  <c r="U11" i="7"/>
  <c r="U23" i="7" l="1"/>
  <c r="T3" i="7" s="1"/>
  <c r="S5" i="9"/>
  <c r="O18" i="9"/>
  <c r="Q19" i="9" s="1"/>
  <c r="S4" i="9" s="1"/>
  <c r="R18" i="9" l="1"/>
  <c r="U18" i="9" l="1"/>
  <c r="U20" i="9" s="1"/>
  <c r="S2" i="9" s="1"/>
  <c r="R19" i="9"/>
  <c r="S19" i="9" s="1"/>
  <c r="R20" i="9"/>
  <c r="T12" i="9" l="1"/>
  <c r="T11" i="9"/>
  <c r="T17" i="9"/>
  <c r="T15" i="9"/>
  <c r="T14" i="9"/>
  <c r="T16" i="9"/>
  <c r="T13" i="9"/>
  <c r="T18" i="9"/>
  <c r="T20" i="9" l="1"/>
  <c r="S3" i="9" s="1"/>
</calcChain>
</file>

<file path=xl/sharedStrings.xml><?xml version="1.0" encoding="utf-8"?>
<sst xmlns="http://schemas.openxmlformats.org/spreadsheetml/2006/main" count="157" uniqueCount="40">
  <si>
    <t>NZ</t>
  </si>
  <si>
    <t>System-
treffer</t>
  </si>
  <si>
    <t>SZ</t>
  </si>
  <si>
    <t>EZ</t>
  </si>
  <si>
    <t>Richtige</t>
  </si>
  <si>
    <t>Chancen 1:</t>
  </si>
  <si>
    <t>(Ø) AQ</t>
  </si>
  <si>
    <t>(Ø) Gewinn</t>
  </si>
  <si>
    <t>Gesamt</t>
  </si>
  <si>
    <t>Gesamtgewinnchance:</t>
  </si>
  <si>
    <t>Gewinnverteilung: *</t>
  </si>
  <si>
    <r>
      <rPr>
        <b/>
        <u/>
        <sz val="10"/>
        <color rgb="FF800000"/>
        <rFont val="Segoe UI"/>
        <family val="2"/>
      </rPr>
      <t>Rechtliche Hinweise:</t>
    </r>
    <r>
      <rPr>
        <b/>
        <sz val="10"/>
        <color rgb="FF800000"/>
        <rFont val="Segoe UI"/>
        <family val="2"/>
      </rPr>
      <t xml:space="preserve"> Dieser Rechner darf nur für private Zwecke verwendet werden. Eine Weitergabe dieser Excel-Datei an andere Personen darf nur </t>
    </r>
    <r>
      <rPr>
        <b/>
        <u/>
        <sz val="10"/>
        <color rgb="FF800000"/>
        <rFont val="Segoe UI"/>
        <family val="2"/>
      </rPr>
      <t>unverändert</t>
    </r>
    <r>
      <rPr>
        <b/>
        <sz val="10"/>
        <color rgb="FF800000"/>
        <rFont val="Segoe UI"/>
        <family val="2"/>
      </rPr>
      <t xml:space="preserve"> und </t>
    </r>
    <r>
      <rPr>
        <b/>
        <u/>
        <sz val="10"/>
        <color rgb="FF800000"/>
        <rFont val="Segoe UI"/>
        <family val="2"/>
      </rPr>
      <t>kostenlos</t>
    </r>
    <r>
      <rPr>
        <b/>
        <sz val="10"/>
        <color rgb="FF800000"/>
        <rFont val="Segoe UI"/>
        <family val="2"/>
      </rPr>
      <t xml:space="preserve"> erfolgen! </t>
    </r>
  </si>
  <si>
    <t>© Copyright 2023 by Lottoexperte (www.lotteriecheck.de) - Alle Rechte vorbehalten!</t>
  </si>
  <si>
    <t>Lotteriewertung: *</t>
  </si>
  <si>
    <t>Anzahl der Spielanteile (1 bis 1.000.000):</t>
  </si>
  <si>
    <t>Preis pro Einzeltipp (0,01 € bis 100 €):</t>
  </si>
  <si>
    <t>EuroMillions</t>
  </si>
  <si>
    <t>Gewinntabelle
je Einzeltipp:</t>
  </si>
  <si>
    <t>EuroJackpot</t>
  </si>
  <si>
    <t>LOTTO 6aus49</t>
  </si>
  <si>
    <t>MegaMillions</t>
  </si>
  <si>
    <t>MB</t>
  </si>
  <si>
    <t>MegaBalls</t>
  </si>
  <si>
    <t>Superzahlen</t>
  </si>
  <si>
    <t>Eurozahlen</t>
  </si>
  <si>
    <t>Sternzahlen</t>
  </si>
  <si>
    <t>PowerBall</t>
  </si>
  <si>
    <t>PowerBalls</t>
  </si>
  <si>
    <t>PB</t>
  </si>
  <si>
    <t>LOTTO 6aus45</t>
  </si>
  <si>
    <t>ZZ</t>
  </si>
  <si>
    <t>---------------------</t>
  </si>
  <si>
    <t>SuperLotto</t>
  </si>
  <si>
    <t>GZ</t>
  </si>
  <si>
    <t>Reale Gesamtgewinnchance: **</t>
  </si>
  <si>
    <t>** Hierbei werden nur die Gewinnchancen von den Gewinnklassen berücksichtigt, in denen ein effektiver Gewinn erzielt wird, der somit höher als der zu zahlende Preis ist.</t>
  </si>
  <si>
    <r>
      <t xml:space="preserve">* Die Berechnungsformeln für diese Angaben finden Sie in den Fußnoten 2 und 3 des Lotteriebewertungstools, das Sie auf </t>
    </r>
    <r>
      <rPr>
        <b/>
        <u/>
        <sz val="10"/>
        <color rgb="FF003296"/>
        <rFont val="Segoe UI"/>
        <family val="2"/>
      </rPr>
      <t>www.lotteriecheck.de/tool5</t>
    </r>
    <r>
      <rPr>
        <b/>
        <sz val="10"/>
        <color theme="1"/>
        <rFont val="Segoe UI"/>
        <family val="2"/>
      </rPr>
      <t xml:space="preserve"> herunterladen können.</t>
    </r>
  </si>
  <si>
    <t>x</t>
  </si>
  <si>
    <t>AQ</t>
  </si>
  <si>
    <t>Ø Gewinn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</si>
</sst>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€&quot;"/>
    <numFmt numFmtId="165" formatCode="&quot;Tipps:&quot;\ #,##0"/>
    <numFmt numFmtId="166" formatCode="&quot;Preis:&quot;\ #,##0.00\ &quot;€&quot;"/>
    <numFmt numFmtId="167" formatCode="#,##0.00%"/>
    <numFmt numFmtId="168" formatCode="0&quot; + 1&quot;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theme="1"/>
      <name val="Segoe UI"/>
      <family val="2"/>
    </font>
    <font>
      <b/>
      <sz val="10"/>
      <color indexed="9"/>
      <name val="Segoe UI"/>
      <family val="2"/>
    </font>
    <font>
      <b/>
      <sz val="10"/>
      <name val="Segoe UI"/>
      <family val="2"/>
    </font>
    <font>
      <b/>
      <u/>
      <sz val="10"/>
      <color indexed="8"/>
      <name val="Segoe UI"/>
      <family val="2"/>
    </font>
    <font>
      <b/>
      <sz val="10"/>
      <color indexed="8"/>
      <name val="Segoe UI"/>
      <family val="2"/>
    </font>
    <font>
      <b/>
      <u/>
      <sz val="10"/>
      <color theme="1"/>
      <name val="Segoe UI"/>
      <family val="2"/>
    </font>
    <font>
      <b/>
      <sz val="10"/>
      <color rgb="FF800000"/>
      <name val="Segoe UI"/>
      <family val="2"/>
    </font>
    <font>
      <b/>
      <u/>
      <sz val="10"/>
      <color rgb="FF800000"/>
      <name val="Segoe UI"/>
      <family val="2"/>
    </font>
    <font>
      <b/>
      <u/>
      <sz val="10"/>
      <color rgb="FF003296"/>
      <name val="Segoe UI"/>
      <family val="2"/>
    </font>
    <font>
      <sz val="8"/>
      <color theme="0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29292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2B2B2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7" borderId="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7" borderId="8" xfId="0" applyNumberFormat="1" applyFont="1" applyFill="1" applyBorder="1" applyAlignment="1">
      <alignment horizontal="center" vertical="center" shrinkToFit="1"/>
    </xf>
    <xf numFmtId="4" fontId="5" fillId="8" borderId="8" xfId="0" applyNumberFormat="1" applyFont="1" applyFill="1" applyBorder="1" applyAlignment="1">
      <alignment horizontal="center" vertical="center" shrinkToFit="1"/>
    </xf>
    <xf numFmtId="4" fontId="5" fillId="9" borderId="8" xfId="0" applyNumberFormat="1" applyFont="1" applyFill="1" applyBorder="1" applyAlignment="1">
      <alignment horizontal="center" vertical="center" shrinkToFit="1"/>
    </xf>
    <xf numFmtId="4" fontId="5" fillId="10" borderId="8" xfId="0" applyNumberFormat="1" applyFont="1" applyFill="1" applyBorder="1" applyAlignment="1">
      <alignment horizontal="center" vertical="center" shrinkToFit="1"/>
    </xf>
    <xf numFmtId="4" fontId="5" fillId="11" borderId="8" xfId="0" applyNumberFormat="1" applyFont="1" applyFill="1" applyBorder="1" applyAlignment="1">
      <alignment horizontal="center" vertical="center" shrinkToFit="1"/>
    </xf>
    <xf numFmtId="4" fontId="4" fillId="5" borderId="10" xfId="0" quotePrefix="1" applyNumberFormat="1" applyFont="1" applyFill="1" applyBorder="1" applyAlignment="1">
      <alignment horizontal="center" vertical="center" shrinkToFit="1"/>
    </xf>
    <xf numFmtId="164" fontId="4" fillId="5" borderId="12" xfId="0" quotePrefix="1" applyNumberFormat="1" applyFont="1" applyFill="1" applyBorder="1" applyAlignment="1">
      <alignment horizontal="center" vertical="center" shrinkToFit="1"/>
    </xf>
    <xf numFmtId="0" fontId="4" fillId="6" borderId="20" xfId="0" applyFont="1" applyFill="1" applyBorder="1" applyAlignment="1">
      <alignment horizontal="center" vertical="center" wrapText="1"/>
    </xf>
    <xf numFmtId="3" fontId="3" fillId="0" borderId="0" xfId="0" applyNumberFormat="1" applyFont="1"/>
    <xf numFmtId="164" fontId="3" fillId="0" borderId="0" xfId="0" applyNumberFormat="1" applyFont="1"/>
    <xf numFmtId="165" fontId="2" fillId="5" borderId="7" xfId="0" applyNumberFormat="1" applyFont="1" applyFill="1" applyBorder="1" applyAlignment="1">
      <alignment horizontal="center" vertical="center" shrinkToFit="1"/>
    </xf>
    <xf numFmtId="164" fontId="7" fillId="7" borderId="8" xfId="0" applyNumberFormat="1" applyFont="1" applyFill="1" applyBorder="1" applyAlignment="1">
      <alignment horizontal="center" vertical="center" shrinkToFit="1"/>
    </xf>
    <xf numFmtId="164" fontId="7" fillId="8" borderId="8" xfId="0" applyNumberFormat="1" applyFont="1" applyFill="1" applyBorder="1" applyAlignment="1">
      <alignment horizontal="center" vertical="center" shrinkToFit="1"/>
    </xf>
    <xf numFmtId="164" fontId="7" fillId="9" borderId="8" xfId="0" applyNumberFormat="1" applyFont="1" applyFill="1" applyBorder="1" applyAlignment="1">
      <alignment horizontal="center" vertical="center" shrinkToFit="1"/>
    </xf>
    <xf numFmtId="164" fontId="7" fillId="10" borderId="8" xfId="0" applyNumberFormat="1" applyFont="1" applyFill="1" applyBorder="1" applyAlignment="1">
      <alignment horizontal="center" vertical="center" shrinkToFit="1"/>
    </xf>
    <xf numFmtId="164" fontId="6" fillId="11" borderId="8" xfId="0" applyNumberFormat="1" applyFont="1" applyFill="1" applyBorder="1" applyAlignment="1">
      <alignment horizontal="center" vertical="center" shrinkToFit="1"/>
    </xf>
    <xf numFmtId="3" fontId="3" fillId="4" borderId="2" xfId="0" applyNumberFormat="1" applyFont="1" applyFill="1" applyBorder="1" applyAlignment="1">
      <alignment horizontal="center" shrinkToFit="1"/>
    </xf>
    <xf numFmtId="164" fontId="7" fillId="11" borderId="8" xfId="0" applyNumberFormat="1" applyFont="1" applyFill="1" applyBorder="1" applyAlignment="1">
      <alignment horizontal="center" vertical="center" shrinkToFit="1"/>
    </xf>
    <xf numFmtId="3" fontId="2" fillId="5" borderId="15" xfId="0" applyNumberFormat="1" applyFont="1" applyFill="1" applyBorder="1" applyAlignment="1">
      <alignment horizontal="center" vertical="center" shrinkToFit="1"/>
    </xf>
    <xf numFmtId="0" fontId="2" fillId="5" borderId="1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3" fillId="13" borderId="21" xfId="0" applyNumberFormat="1" applyFont="1" applyFill="1" applyBorder="1" applyAlignment="1">
      <alignment horizontal="center" vertical="center" shrinkToFit="1"/>
    </xf>
    <xf numFmtId="10" fontId="3" fillId="13" borderId="21" xfId="0" applyNumberFormat="1" applyFont="1" applyFill="1" applyBorder="1" applyAlignment="1">
      <alignment horizontal="center" vertical="center" shrinkToFit="1"/>
    </xf>
    <xf numFmtId="0" fontId="3" fillId="14" borderId="2" xfId="0" applyFont="1" applyFill="1" applyBorder="1" applyAlignment="1">
      <alignment horizontal="center"/>
    </xf>
    <xf numFmtId="0" fontId="1" fillId="0" borderId="27" xfId="0" applyFont="1" applyBorder="1"/>
    <xf numFmtId="0" fontId="3" fillId="0" borderId="0" xfId="0" applyFont="1"/>
    <xf numFmtId="166" fontId="2" fillId="5" borderId="19" xfId="0" applyNumberFormat="1" applyFont="1" applyFill="1" applyBorder="1" applyAlignment="1">
      <alignment horizontal="center" vertical="center" shrinkToFit="1"/>
    </xf>
    <xf numFmtId="0" fontId="8" fillId="12" borderId="20" xfId="0" applyFont="1" applyFill="1" applyBorder="1" applyAlignment="1">
      <alignment horizontal="center" vertical="center" wrapText="1"/>
    </xf>
    <xf numFmtId="164" fontId="6" fillId="7" borderId="8" xfId="0" applyNumberFormat="1" applyFont="1" applyFill="1" applyBorder="1" applyAlignment="1">
      <alignment horizontal="center" vertical="center" shrinkToFit="1"/>
    </xf>
    <xf numFmtId="164" fontId="6" fillId="8" borderId="8" xfId="0" applyNumberFormat="1" applyFont="1" applyFill="1" applyBorder="1" applyAlignment="1">
      <alignment horizontal="center" vertical="center" shrinkToFit="1"/>
    </xf>
    <xf numFmtId="164" fontId="6" fillId="9" borderId="8" xfId="0" applyNumberFormat="1" applyFont="1" applyFill="1" applyBorder="1" applyAlignment="1">
      <alignment horizontal="center" vertical="center" shrinkToFit="1"/>
    </xf>
    <xf numFmtId="164" fontId="6" fillId="10" borderId="8" xfId="0" applyNumberFormat="1" applyFont="1" applyFill="1" applyBorder="1" applyAlignment="1">
      <alignment horizontal="center" vertical="center" shrinkToFit="1"/>
    </xf>
    <xf numFmtId="0" fontId="5" fillId="15" borderId="8" xfId="0" applyFont="1" applyFill="1" applyBorder="1" applyAlignment="1">
      <alignment horizontal="center" vertical="center"/>
    </xf>
    <xf numFmtId="4" fontId="5" fillId="15" borderId="8" xfId="0" applyNumberFormat="1" applyFont="1" applyFill="1" applyBorder="1" applyAlignment="1">
      <alignment horizontal="center" vertical="center" shrinkToFit="1"/>
    </xf>
    <xf numFmtId="164" fontId="6" fillId="15" borderId="8" xfId="0" applyNumberFormat="1" applyFont="1" applyFill="1" applyBorder="1" applyAlignment="1">
      <alignment horizontal="center" vertical="center" shrinkToFit="1"/>
    </xf>
    <xf numFmtId="164" fontId="7" fillId="16" borderId="21" xfId="0" applyNumberFormat="1" applyFont="1" applyFill="1" applyBorder="1" applyAlignment="1" applyProtection="1">
      <alignment horizontal="center" vertical="center" shrinkToFit="1"/>
      <protection locked="0"/>
    </xf>
    <xf numFmtId="164" fontId="1" fillId="0" borderId="0" xfId="0" applyNumberFormat="1" applyFont="1"/>
    <xf numFmtId="4" fontId="3" fillId="13" borderId="21" xfId="0" applyNumberFormat="1" applyFont="1" applyFill="1" applyBorder="1" applyAlignment="1">
      <alignment horizontal="center" vertical="center"/>
    </xf>
    <xf numFmtId="167" fontId="7" fillId="7" borderId="8" xfId="0" applyNumberFormat="1" applyFont="1" applyFill="1" applyBorder="1" applyAlignment="1">
      <alignment horizontal="center" vertical="center" shrinkToFit="1"/>
    </xf>
    <xf numFmtId="167" fontId="7" fillId="8" borderId="8" xfId="0" applyNumberFormat="1" applyFont="1" applyFill="1" applyBorder="1" applyAlignment="1">
      <alignment horizontal="center" vertical="center" shrinkToFit="1"/>
    </xf>
    <xf numFmtId="167" fontId="7" fillId="9" borderId="8" xfId="0" applyNumberFormat="1" applyFont="1" applyFill="1" applyBorder="1" applyAlignment="1">
      <alignment horizontal="center" vertical="center" shrinkToFit="1"/>
    </xf>
    <xf numFmtId="167" fontId="7" fillId="10" borderId="8" xfId="0" applyNumberFormat="1" applyFont="1" applyFill="1" applyBorder="1" applyAlignment="1">
      <alignment horizontal="center" vertical="center" shrinkToFit="1"/>
    </xf>
    <xf numFmtId="167" fontId="7" fillId="11" borderId="8" xfId="0" applyNumberFormat="1" applyFont="1" applyFill="1" applyBorder="1" applyAlignment="1">
      <alignment horizontal="center" vertical="center" shrinkToFit="1"/>
    </xf>
    <xf numFmtId="167" fontId="7" fillId="15" borderId="8" xfId="0" applyNumberFormat="1" applyFont="1" applyFill="1" applyBorder="1" applyAlignment="1">
      <alignment horizontal="center" vertical="center" shrinkToFit="1"/>
    </xf>
    <xf numFmtId="167" fontId="4" fillId="5" borderId="11" xfId="0" applyNumberFormat="1" applyFont="1" applyFill="1" applyBorder="1" applyAlignment="1">
      <alignment horizontal="center" vertical="center" shrinkToFit="1"/>
    </xf>
    <xf numFmtId="167" fontId="6" fillId="7" borderId="8" xfId="0" applyNumberFormat="1" applyFont="1" applyFill="1" applyBorder="1" applyAlignment="1">
      <alignment horizontal="center" vertical="center" shrinkToFit="1"/>
    </xf>
    <xf numFmtId="167" fontId="6" fillId="8" borderId="8" xfId="0" applyNumberFormat="1" applyFont="1" applyFill="1" applyBorder="1" applyAlignment="1">
      <alignment horizontal="center" vertical="center" shrinkToFit="1"/>
    </xf>
    <xf numFmtId="167" fontId="6" fillId="9" borderId="8" xfId="0" applyNumberFormat="1" applyFont="1" applyFill="1" applyBorder="1" applyAlignment="1">
      <alignment horizontal="center" vertical="center" shrinkToFit="1"/>
    </xf>
    <xf numFmtId="167" fontId="6" fillId="10" borderId="8" xfId="0" applyNumberFormat="1" applyFont="1" applyFill="1" applyBorder="1" applyAlignment="1">
      <alignment horizontal="center" vertical="center" shrinkToFit="1"/>
    </xf>
    <xf numFmtId="167" fontId="6" fillId="11" borderId="8" xfId="0" applyNumberFormat="1" applyFont="1" applyFill="1" applyBorder="1" applyAlignment="1">
      <alignment horizontal="center" vertical="center" shrinkToFit="1"/>
    </xf>
    <xf numFmtId="0" fontId="5" fillId="17" borderId="8" xfId="0" applyFont="1" applyFill="1" applyBorder="1" applyAlignment="1">
      <alignment horizontal="center" vertical="center"/>
    </xf>
    <xf numFmtId="4" fontId="5" fillId="17" borderId="8" xfId="0" applyNumberFormat="1" applyFont="1" applyFill="1" applyBorder="1" applyAlignment="1">
      <alignment horizontal="center" vertical="center" shrinkToFit="1"/>
    </xf>
    <xf numFmtId="167" fontId="7" fillId="17" borderId="8" xfId="0" applyNumberFormat="1" applyFont="1" applyFill="1" applyBorder="1" applyAlignment="1">
      <alignment horizontal="center" vertical="center" shrinkToFit="1"/>
    </xf>
    <xf numFmtId="164" fontId="6" fillId="17" borderId="8" xfId="0" applyNumberFormat="1" applyFont="1" applyFill="1" applyBorder="1" applyAlignment="1">
      <alignment horizontal="center" vertical="center" shrinkToFit="1"/>
    </xf>
    <xf numFmtId="164" fontId="7" fillId="18" borderId="21" xfId="0" quotePrefix="1" applyNumberFormat="1" applyFont="1" applyFill="1" applyBorder="1" applyAlignment="1">
      <alignment horizontal="center" vertical="center" shrinkToFit="1"/>
    </xf>
    <xf numFmtId="0" fontId="3" fillId="14" borderId="21" xfId="0" applyFont="1" applyFill="1" applyBorder="1" applyAlignment="1">
      <alignment horizontal="center"/>
    </xf>
    <xf numFmtId="3" fontId="3" fillId="4" borderId="21" xfId="0" applyNumberFormat="1" applyFont="1" applyFill="1" applyBorder="1" applyAlignment="1">
      <alignment horizontal="center" shrinkToFit="1"/>
    </xf>
    <xf numFmtId="168" fontId="3" fillId="14" borderId="2" xfId="0" applyNumberFormat="1" applyFont="1" applyFill="1" applyBorder="1" applyAlignment="1">
      <alignment horizontal="center"/>
    </xf>
    <xf numFmtId="168" fontId="3" fillId="14" borderId="21" xfId="0" applyNumberFormat="1" applyFont="1" applyFill="1" applyBorder="1" applyAlignment="1">
      <alignment horizontal="center"/>
    </xf>
    <xf numFmtId="0" fontId="1" fillId="0" borderId="29" xfId="0" applyFont="1" applyBorder="1"/>
    <xf numFmtId="2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28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left" vertical="center"/>
    </xf>
    <xf numFmtId="0" fontId="3" fillId="12" borderId="5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12" borderId="25" xfId="0" applyFont="1" applyFill="1" applyBorder="1" applyAlignment="1">
      <alignment horizontal="left" vertical="center"/>
    </xf>
    <xf numFmtId="0" fontId="3" fillId="12" borderId="26" xfId="0" applyFont="1" applyFill="1" applyBorder="1" applyAlignment="1">
      <alignment horizontal="left" vertical="center"/>
    </xf>
    <xf numFmtId="0" fontId="3" fillId="12" borderId="22" xfId="0" applyFont="1" applyFill="1" applyBorder="1" applyAlignment="1">
      <alignment horizontal="left" vertical="center"/>
    </xf>
    <xf numFmtId="0" fontId="3" fillId="12" borderId="23" xfId="0" applyFont="1" applyFill="1" applyBorder="1" applyAlignment="1">
      <alignment horizontal="left" vertical="center"/>
    </xf>
    <xf numFmtId="0" fontId="3" fillId="12" borderId="24" xfId="0" applyFont="1" applyFill="1" applyBorder="1" applyAlignment="1">
      <alignment horizontal="left" vertical="center"/>
    </xf>
    <xf numFmtId="3" fontId="3" fillId="16" borderId="22" xfId="0" applyNumberFormat="1" applyFont="1" applyFill="1" applyBorder="1" applyAlignment="1" applyProtection="1">
      <alignment horizontal="center" vertical="center" shrinkToFit="1"/>
      <protection locked="0"/>
    </xf>
    <xf numFmtId="3" fontId="3" fillId="16" borderId="24" xfId="0" applyNumberFormat="1" applyFont="1" applyFill="1" applyBorder="1" applyAlignment="1" applyProtection="1">
      <alignment horizontal="center" vertical="center" shrinkToFit="1"/>
      <protection locked="0"/>
    </xf>
    <xf numFmtId="164" fontId="3" fillId="16" borderId="22" xfId="0" applyNumberFormat="1" applyFont="1" applyFill="1" applyBorder="1" applyAlignment="1" applyProtection="1">
      <alignment horizontal="center" vertical="center" shrinkToFit="1"/>
      <protection locked="0"/>
    </xf>
    <xf numFmtId="164" fontId="3" fillId="16" borderId="2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2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Standard" xfId="0" builtinId="0"/>
  </cellStyles>
  <dxfs count="112">
    <dxf>
      <font>
        <color theme="0"/>
      </font>
      <fill>
        <patternFill>
          <bgColor rgb="FFC00000"/>
        </patternFill>
      </fill>
    </dxf>
    <dxf>
      <numFmt numFmtId="169" formatCode="#,##0.0"/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numFmt numFmtId="170" formatCode="#,##0.0%"/>
    </dxf>
    <dxf>
      <numFmt numFmtId="171" formatCode="#,##0%"/>
    </dxf>
    <dxf>
      <numFmt numFmtId="172" formatCode="&quot;Preis:&quot;\ #,##0.0\ &quot;€&quot;"/>
    </dxf>
    <dxf>
      <numFmt numFmtId="173" formatCode="&quot;Preis:&quot;\ #,##0\ &quot;€&quot;"/>
    </dxf>
    <dxf>
      <font>
        <b val="0"/>
        <i val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 val="0"/>
        <i val="0"/>
      </font>
    </dxf>
    <dxf>
      <font>
        <color rgb="FFDDDDDD"/>
      </font>
    </dxf>
    <dxf>
      <fill>
        <patternFill>
          <bgColor rgb="FFCCFFCC"/>
        </patternFill>
      </fill>
    </dxf>
    <dxf>
      <font>
        <color rgb="FFFF4040"/>
      </font>
    </dxf>
    <dxf>
      <font>
        <condense val="0"/>
        <extend val="0"/>
        <color indexed="13"/>
      </font>
    </dxf>
    <dxf>
      <font>
        <condense val="0"/>
        <extend val="0"/>
        <color indexed="11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numFmt numFmtId="170" formatCode="#,##0.0%"/>
    </dxf>
    <dxf>
      <numFmt numFmtId="171" formatCode="#,##0%"/>
    </dxf>
    <dxf>
      <numFmt numFmtId="172" formatCode="&quot;Preis:&quot;\ #,##0.0\ &quot;€&quot;"/>
    </dxf>
    <dxf>
      <numFmt numFmtId="173" formatCode="&quot;Preis:&quot;\ #,##0\ &quot;€&quot;"/>
    </dxf>
    <dxf>
      <font>
        <b val="0"/>
        <i val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 val="0"/>
        <i val="0"/>
      </font>
    </dxf>
    <dxf>
      <font>
        <color rgb="FFDDDDDD"/>
      </font>
    </dxf>
    <dxf>
      <fill>
        <patternFill>
          <bgColor rgb="FFCCFFCC"/>
        </patternFill>
      </fill>
    </dxf>
    <dxf>
      <font>
        <color rgb="FFFF4040"/>
      </font>
    </dxf>
    <dxf>
      <font>
        <condense val="0"/>
        <extend val="0"/>
        <color indexed="13"/>
      </font>
    </dxf>
    <dxf>
      <font>
        <condense val="0"/>
        <extend val="0"/>
        <color indexed="11"/>
      </font>
    </dxf>
    <dxf>
      <font>
        <color theme="0"/>
      </font>
      <fill>
        <patternFill>
          <bgColor rgb="FFC00000"/>
        </patternFill>
      </fill>
    </dxf>
    <dxf>
      <numFmt numFmtId="170" formatCode="#,##0.0%"/>
    </dxf>
    <dxf>
      <numFmt numFmtId="171" formatCode="#,##0%"/>
    </dxf>
    <dxf>
      <numFmt numFmtId="172" formatCode="&quot;Preis:&quot;\ #,##0.0\ &quot;€&quot;"/>
    </dxf>
    <dxf>
      <numFmt numFmtId="173" formatCode="&quot;Preis:&quot;\ #,##0\ &quot;€&quot;"/>
    </dxf>
    <dxf>
      <font>
        <b val="0"/>
        <i val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 val="0"/>
        <i val="0"/>
      </font>
    </dxf>
    <dxf>
      <font>
        <color rgb="FFDDDDDD"/>
      </font>
    </dxf>
    <dxf>
      <fill>
        <patternFill>
          <bgColor rgb="FFCCFFCC"/>
        </patternFill>
      </fill>
    </dxf>
    <dxf>
      <font>
        <color rgb="FFFF4040"/>
      </font>
    </dxf>
    <dxf>
      <font>
        <condense val="0"/>
        <extend val="0"/>
        <color indexed="13"/>
      </font>
    </dxf>
    <dxf>
      <font>
        <condense val="0"/>
        <extend val="0"/>
        <color indexed="11"/>
      </font>
    </dxf>
    <dxf>
      <font>
        <color theme="0"/>
      </font>
      <fill>
        <patternFill>
          <bgColor rgb="FFC00000"/>
        </patternFill>
      </fill>
    </dxf>
    <dxf>
      <numFmt numFmtId="170" formatCode="#,##0.0%"/>
    </dxf>
    <dxf>
      <numFmt numFmtId="171" formatCode="#,##0%"/>
    </dxf>
    <dxf>
      <numFmt numFmtId="172" formatCode="&quot;Preis:&quot;\ #,##0.0\ &quot;€&quot;"/>
    </dxf>
    <dxf>
      <numFmt numFmtId="173" formatCode="&quot;Preis:&quot;\ #,##0\ &quot;€&quot;"/>
    </dxf>
    <dxf>
      <font>
        <b val="0"/>
        <i val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 val="0"/>
        <i val="0"/>
      </font>
    </dxf>
    <dxf>
      <font>
        <color rgb="FFDDDDDD"/>
      </font>
    </dxf>
    <dxf>
      <fill>
        <patternFill>
          <bgColor rgb="FFCCFFCC"/>
        </patternFill>
      </fill>
    </dxf>
    <dxf>
      <font>
        <color rgb="FFFF4040"/>
      </font>
    </dxf>
    <dxf>
      <font>
        <condense val="0"/>
        <extend val="0"/>
        <color indexed="13"/>
      </font>
    </dxf>
    <dxf>
      <font>
        <condense val="0"/>
        <extend val="0"/>
        <color indexed="11"/>
      </font>
    </dxf>
    <dxf>
      <font>
        <color theme="0"/>
      </font>
      <fill>
        <patternFill>
          <bgColor rgb="FFC00000"/>
        </patternFill>
      </fill>
    </dxf>
    <dxf>
      <numFmt numFmtId="170" formatCode="#,##0.0%"/>
    </dxf>
    <dxf>
      <numFmt numFmtId="171" formatCode="#,##0%"/>
    </dxf>
    <dxf>
      <font>
        <color theme="0"/>
      </font>
      <fill>
        <patternFill>
          <bgColor rgb="FFC00000"/>
        </patternFill>
      </fill>
    </dxf>
    <dxf>
      <numFmt numFmtId="172" formatCode="&quot;Preis:&quot;\ #,##0.0\ &quot;€&quot;"/>
    </dxf>
    <dxf>
      <numFmt numFmtId="173" formatCode="&quot;Preis:&quot;\ #,##0\ &quot;€&quot;"/>
    </dxf>
    <dxf>
      <font>
        <b val="0"/>
        <i val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DDDDDD"/>
      </font>
    </dxf>
    <dxf>
      <font>
        <color rgb="FFFF4040"/>
      </font>
    </dxf>
    <dxf>
      <font>
        <condense val="0"/>
        <extend val="0"/>
        <color indexed="13"/>
      </font>
    </dxf>
    <dxf>
      <font>
        <condense val="0"/>
        <extend val="0"/>
        <color indexed="11"/>
      </font>
    </dxf>
    <dxf>
      <font>
        <b val="0"/>
        <i val="0"/>
      </font>
    </dxf>
    <dxf>
      <fill>
        <patternFill>
          <bgColor rgb="FFCCFFCC"/>
        </patternFill>
      </fill>
    </dxf>
    <dxf>
      <font>
        <color theme="0"/>
      </font>
      <fill>
        <patternFill>
          <bgColor rgb="FFC00000"/>
        </patternFill>
      </fill>
    </dxf>
    <dxf>
      <numFmt numFmtId="170" formatCode="#,##0.0%"/>
    </dxf>
    <dxf>
      <numFmt numFmtId="171" formatCode="#,##0%"/>
    </dxf>
    <dxf>
      <font>
        <color theme="0"/>
      </font>
      <fill>
        <patternFill>
          <bgColor rgb="FFC00000"/>
        </patternFill>
      </fill>
    </dxf>
    <dxf>
      <numFmt numFmtId="172" formatCode="&quot;Preis:&quot;\ #,##0.0\ &quot;€&quot;"/>
    </dxf>
    <dxf>
      <numFmt numFmtId="173" formatCode="&quot;Preis:&quot;\ #,##0\ &quot;€&quot;"/>
    </dxf>
    <dxf>
      <font>
        <b val="0"/>
        <i val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DDDDDD"/>
      </font>
    </dxf>
    <dxf>
      <font>
        <color rgb="FFFF4040"/>
      </font>
    </dxf>
    <dxf>
      <font>
        <condense val="0"/>
        <extend val="0"/>
        <color indexed="13"/>
      </font>
    </dxf>
    <dxf>
      <font>
        <condense val="0"/>
        <extend val="0"/>
        <color indexed="11"/>
      </font>
    </dxf>
    <dxf>
      <font>
        <b val="0"/>
        <i val="0"/>
      </font>
    </dxf>
    <dxf>
      <fill>
        <patternFill>
          <bgColor rgb="FFCCFFCC"/>
        </patternFill>
      </fill>
    </dxf>
    <dxf>
      <numFmt numFmtId="170" formatCode="#,##0.0%"/>
    </dxf>
    <dxf>
      <numFmt numFmtId="171" formatCode="#,##0%"/>
    </dxf>
    <dxf>
      <numFmt numFmtId="172" formatCode="&quot;Preis:&quot;\ #,##0.0\ &quot;€&quot;"/>
    </dxf>
    <dxf>
      <numFmt numFmtId="173" formatCode="&quot;Preis:&quot;\ #,##0\ &quot;€&quot;"/>
    </dxf>
    <dxf>
      <font>
        <b val="0"/>
        <i val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DDDDDD"/>
      </font>
    </dxf>
    <dxf>
      <font>
        <color rgb="FFFF4040"/>
      </font>
    </dxf>
    <dxf>
      <font>
        <condense val="0"/>
        <extend val="0"/>
        <color indexed="13"/>
      </font>
    </dxf>
    <dxf>
      <font>
        <condense val="0"/>
        <extend val="0"/>
        <color indexed="11"/>
      </font>
    </dxf>
    <dxf>
      <font>
        <b val="0"/>
        <i val="0"/>
      </font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4040"/>
      <color rgb="FF003296"/>
      <color rgb="FF99CCFF"/>
      <color rgb="FFCCFFFF"/>
      <color rgb="FFCCFFCC"/>
      <color rgb="FFDDDDDD"/>
      <color rgb="FFB2B2B2"/>
      <color rgb="FFCCCC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1"/>
  <sheetViews>
    <sheetView showGridLines="0" tabSelected="1" zoomScaleNormal="100" workbookViewId="0">
      <selection activeCell="I2" sqref="I2:J2"/>
    </sheetView>
  </sheetViews>
  <sheetFormatPr baseColWidth="10" defaultRowHeight="14.25" x14ac:dyDescent="0.25"/>
  <cols>
    <col min="1" max="1" width="2.85546875" style="1" customWidth="1"/>
    <col min="2" max="3" width="6.28515625" style="1" customWidth="1"/>
    <col min="4" max="4" width="4.28515625" style="1" customWidth="1"/>
    <col min="5" max="13" width="6.28515625" style="1" customWidth="1"/>
    <col min="14" max="15" width="2.140625" style="1" customWidth="1"/>
    <col min="16" max="16" width="17" style="1" customWidth="1"/>
    <col min="17" max="17" width="4.28515625" style="1" customWidth="1"/>
    <col min="18" max="18" width="8.85546875" style="1" customWidth="1"/>
    <col min="19" max="19" width="14.28515625" style="1" customWidth="1"/>
    <col min="20" max="20" width="8.28515625" style="1" customWidth="1"/>
    <col min="21" max="21" width="14.85546875" style="1" customWidth="1"/>
    <col min="22" max="24" width="6.28515625" style="1" customWidth="1"/>
    <col min="25" max="16384" width="11.42578125" style="1"/>
  </cols>
  <sheetData>
    <row r="1" spans="2:23" ht="15" customHeight="1" x14ac:dyDescent="0.25"/>
    <row r="2" spans="2:23" ht="15" customHeight="1" x14ac:dyDescent="0.25">
      <c r="B2" s="83" t="str">
        <f>CONCATENATE("Anzahl Normalzahlen (",K2,") im Vollsystem:")</f>
        <v>Anzahl Normalzahlen (NZ) im Vollsystem:</v>
      </c>
      <c r="C2" s="84"/>
      <c r="D2" s="84"/>
      <c r="E2" s="84"/>
      <c r="F2" s="84"/>
      <c r="G2" s="84"/>
      <c r="H2" s="85"/>
      <c r="I2" s="92">
        <v>6</v>
      </c>
      <c r="J2" s="93"/>
      <c r="K2" s="96" t="s">
        <v>0</v>
      </c>
      <c r="L2" s="96">
        <v>49</v>
      </c>
      <c r="M2" s="96">
        <v>6</v>
      </c>
      <c r="N2" s="97" t="s">
        <v>19</v>
      </c>
      <c r="O2" s="97"/>
      <c r="R2" s="89" t="s">
        <v>13</v>
      </c>
      <c r="S2" s="90"/>
      <c r="T2" s="91"/>
      <c r="U2" s="51">
        <f>IFERROR(W21,"")</f>
        <v>3.2497364818195629</v>
      </c>
    </row>
    <row r="3" spans="2:23" ht="15" customHeight="1" x14ac:dyDescent="0.25">
      <c r="B3" s="83" t="str">
        <f>CONCATENATE("Anzahl ",N3," (",K3,") im Vollsystem:")</f>
        <v>Anzahl Superzahlen (SZ) im Vollsystem:</v>
      </c>
      <c r="C3" s="84"/>
      <c r="D3" s="84"/>
      <c r="E3" s="84"/>
      <c r="F3" s="84"/>
      <c r="G3" s="84"/>
      <c r="H3" s="85"/>
      <c r="I3" s="92">
        <v>1</v>
      </c>
      <c r="J3" s="93"/>
      <c r="K3" s="96" t="s">
        <v>2</v>
      </c>
      <c r="L3" s="96">
        <v>10</v>
      </c>
      <c r="M3" s="96">
        <v>1</v>
      </c>
      <c r="N3" s="97" t="s">
        <v>23</v>
      </c>
      <c r="O3" s="97"/>
      <c r="R3" s="89" t="s">
        <v>10</v>
      </c>
      <c r="S3" s="90"/>
      <c r="T3" s="91"/>
      <c r="U3" s="35">
        <f>IFERROR(V21,"")</f>
        <v>1.9005699590153984</v>
      </c>
    </row>
    <row r="4" spans="2:23" ht="15" customHeight="1" x14ac:dyDescent="0.25">
      <c r="B4" s="86" t="s">
        <v>14</v>
      </c>
      <c r="C4" s="87"/>
      <c r="D4" s="87"/>
      <c r="E4" s="87"/>
      <c r="F4" s="87"/>
      <c r="G4" s="87"/>
      <c r="H4" s="88"/>
      <c r="I4" s="92">
        <v>1</v>
      </c>
      <c r="J4" s="93"/>
      <c r="R4" s="89" t="s">
        <v>9</v>
      </c>
      <c r="S4" s="90"/>
      <c r="T4" s="91"/>
      <c r="U4" s="36">
        <f>IFERROR(1/S20,"")</f>
        <v>3.1875347902174916E-2</v>
      </c>
    </row>
    <row r="5" spans="2:23" ht="15" customHeight="1" x14ac:dyDescent="0.25">
      <c r="B5" s="89" t="s">
        <v>15</v>
      </c>
      <c r="C5" s="90"/>
      <c r="D5" s="90"/>
      <c r="E5" s="90"/>
      <c r="F5" s="90"/>
      <c r="G5" s="90"/>
      <c r="H5" s="91"/>
      <c r="I5" s="94">
        <v>1.2</v>
      </c>
      <c r="J5" s="95"/>
      <c r="K5" s="34"/>
      <c r="L5" s="34"/>
      <c r="M5" s="34"/>
      <c r="N5" s="34"/>
      <c r="O5" s="34"/>
      <c r="P5" s="34"/>
      <c r="R5" s="89" t="s">
        <v>34</v>
      </c>
      <c r="S5" s="90"/>
      <c r="T5" s="91"/>
      <c r="U5" s="36">
        <f>IFERROR(IF(U8="","",SUMIF(U11:U19,"&gt;"&amp;U9,Q11:Q19)),"")</f>
        <v>3.1875347902174916E-2</v>
      </c>
    </row>
    <row r="6" spans="2:23" ht="15" customHeight="1" x14ac:dyDescent="0.25"/>
    <row r="7" spans="2:23" ht="15" customHeight="1" x14ac:dyDescent="0.25"/>
    <row r="8" spans="2:23" ht="15" customHeight="1" x14ac:dyDescent="0.25">
      <c r="B8" s="80" t="s">
        <v>1</v>
      </c>
      <c r="C8" s="80"/>
      <c r="D8" s="2" t="str">
        <f>K2</f>
        <v>NZ</v>
      </c>
      <c r="E8" s="37">
        <v>6</v>
      </c>
      <c r="F8" s="37">
        <v>6</v>
      </c>
      <c r="G8" s="37">
        <v>5</v>
      </c>
      <c r="H8" s="37">
        <v>5</v>
      </c>
      <c r="I8" s="37">
        <v>4</v>
      </c>
      <c r="J8" s="37">
        <v>4</v>
      </c>
      <c r="K8" s="37">
        <v>3</v>
      </c>
      <c r="L8" s="37">
        <v>3</v>
      </c>
      <c r="M8" s="37">
        <v>2</v>
      </c>
      <c r="P8" s="41" t="str">
        <f>$N$2</f>
        <v>LOTTO 6aus49</v>
      </c>
      <c r="R8" s="76" t="str">
        <f>IFERROR(IF(OR($I$2&gt;$L$2,$I$2&lt;$M$2,$I$3&gt;$L$3,$I$3&lt;$M$3),$N$2,CONCATENATE($N$2," (",$I$2,"/",$I$3,")")),"")</f>
        <v>LOTTO 6aus49 (6/1)</v>
      </c>
      <c r="S8" s="77"/>
      <c r="T8" s="32">
        <f>IFERROR(IF(OR($I$4&lt;1,$I$4&gt;1000000),"",$I$4),"")</f>
        <v>1</v>
      </c>
      <c r="U8" s="24">
        <f>IFERROR(IF(OR($I$2&gt;$L$2,$I$2&lt;$M$2,$I$3&gt;$L$3,$I$3&lt;$M$3),"",COMBIN($I$2,$M$2)*COMBIN($I$3,$M$3)),"")</f>
        <v>1</v>
      </c>
      <c r="V8" s="98"/>
      <c r="W8" s="98"/>
    </row>
    <row r="9" spans="2:23" ht="15" customHeight="1" x14ac:dyDescent="0.25">
      <c r="B9" s="80"/>
      <c r="C9" s="80"/>
      <c r="D9" s="2" t="str">
        <f>K3</f>
        <v>SZ</v>
      </c>
      <c r="E9" s="37">
        <v>1</v>
      </c>
      <c r="F9" s="37">
        <v>0</v>
      </c>
      <c r="G9" s="37">
        <v>1</v>
      </c>
      <c r="H9" s="37">
        <v>0</v>
      </c>
      <c r="I9" s="37">
        <v>1</v>
      </c>
      <c r="J9" s="37">
        <v>0</v>
      </c>
      <c r="K9" s="37">
        <v>1</v>
      </c>
      <c r="L9" s="37">
        <v>0</v>
      </c>
      <c r="M9" s="37">
        <v>1</v>
      </c>
      <c r="P9" s="81" t="s">
        <v>17</v>
      </c>
      <c r="R9" s="78" t="str">
        <f>CONCATENATE($M$2," aus ",$L$2," + ",$M$3," aus ",$L$3)</f>
        <v>6 aus 49 + 1 aus 10</v>
      </c>
      <c r="S9" s="79"/>
      <c r="T9" s="33" t="str">
        <f>IF(T8=1,"Anteil","Anteile")</f>
        <v>Anteil</v>
      </c>
      <c r="U9" s="40">
        <f>IFERROR(IF(OR($I$5&lt;0.01,$I$5&gt;100),"",U8*$I$5/T8),"")</f>
        <v>1.2</v>
      </c>
      <c r="V9" s="98"/>
      <c r="W9" s="98"/>
    </row>
    <row r="10" spans="2:23" ht="15" customHeight="1" x14ac:dyDescent="0.25">
      <c r="B10" s="3" t="str">
        <f>K2</f>
        <v>NZ</v>
      </c>
      <c r="C10" s="3" t="str">
        <f>K3</f>
        <v>SZ</v>
      </c>
      <c r="D10" s="4"/>
      <c r="E10" s="5"/>
      <c r="F10" s="5"/>
      <c r="G10" s="5"/>
      <c r="H10" s="5"/>
      <c r="I10" s="5"/>
      <c r="J10" s="5"/>
      <c r="K10" s="5"/>
      <c r="L10" s="5"/>
      <c r="M10" s="5"/>
      <c r="P10" s="82"/>
      <c r="R10" s="21" t="s">
        <v>4</v>
      </c>
      <c r="S10" s="21" t="s">
        <v>5</v>
      </c>
      <c r="T10" s="21" t="s">
        <v>6</v>
      </c>
      <c r="U10" s="21" t="s">
        <v>7</v>
      </c>
      <c r="V10" s="98"/>
      <c r="W10" s="98"/>
    </row>
    <row r="11" spans="2:23" ht="15" customHeight="1" x14ac:dyDescent="0.25">
      <c r="B11" s="37">
        <v>6</v>
      </c>
      <c r="C11" s="37">
        <v>1</v>
      </c>
      <c r="D11" s="6"/>
      <c r="E11" s="30">
        <f>IFERROR(IF(OR($I$2&gt;$L$2-$M$2+$B11,$I$3&gt;$L$3-$M$3+$C11),0,COMBIN($I$2-$B11,$M$2-E$8)*COMBIN($B11,E$8)*COMBIN($I$3-$C11,$M$3-E$9)*COMBIN($C11,E$9)),0)</f>
        <v>1</v>
      </c>
      <c r="F11" s="30">
        <f t="shared" ref="F11:M19" si="0">IFERROR(IF(OR($I$2&gt;$L$2-$M$2+$B11,$I$3&gt;$L$3-$M$3+$C11),0,COMBIN($I$2-$B11,$M$2-F$8)*COMBIN($B11,F$8)*COMBIN($I$3-$C11,$M$3-F$9)*COMBIN($C11,F$9)),0)</f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99">
        <v>12585434.4</v>
      </c>
      <c r="O11" s="100">
        <f>IF(OR(P11&lt;N11/100,P11&gt;N11*100),1,0)</f>
        <v>0</v>
      </c>
      <c r="P11" s="49">
        <v>12585434.4</v>
      </c>
      <c r="Q11" s="101">
        <f t="shared" ref="Q11:Q19" si="1">IFERROR(IF(U11=0,0,1/S11),"")</f>
        <v>7.1511238420185239E-9</v>
      </c>
      <c r="R11" s="7" t="str">
        <f>CONCATENATE($B11,IF($C11=1,CONCATENATE(" + ",$C$10),""))</f>
        <v>6 + SZ</v>
      </c>
      <c r="S11" s="14">
        <f t="shared" ref="S11:S19" si="2">IFERROR(IF(OR(U$8="",SUM(O$11:O$31)&gt;0),"",1/(HYPGEOMDIST($B11,$I$2,$M$2,$L$2)*HYPGEOMDIST($C11,$I$3,$M$3,$L$3))),"")</f>
        <v>139838159.99999985</v>
      </c>
      <c r="T11" s="59">
        <f>IFERROR(U11/S11/U$9,"")</f>
        <v>7.500000000000008E-2</v>
      </c>
      <c r="U11" s="25">
        <f>IFERROR(IF(OR(U$8="",S11="",SUM(O$11:O$31)&gt;0),"",(P$11*$E11+P$12*$F11+P$13*$G11+P$14*$H11+P$15*$I11+P$16*$J11+P$17*$K11+P$18*$L11+P$19*$M11)/T$8),"")</f>
        <v>12585434.4</v>
      </c>
      <c r="V11" s="98">
        <f>IFERROR(IF(T11&lt;T$21,T$21/T11,T11/T$21),"")</f>
        <v>1.349999999999999</v>
      </c>
      <c r="W11" s="98">
        <f>IFERROR(T11/IF((S11*U$9)&lt;1500,1500,S11*U$9)^0.25*62.2333,"")</f>
        <v>4.1009300097410467E-2</v>
      </c>
    </row>
    <row r="12" spans="2:23" ht="15" customHeight="1" x14ac:dyDescent="0.25">
      <c r="B12" s="37">
        <v>6</v>
      </c>
      <c r="C12" s="37">
        <v>0</v>
      </c>
      <c r="D12" s="6"/>
      <c r="E12" s="30">
        <f t="shared" ref="E12:E19" si="3">IFERROR(IF(OR($I$2&gt;$L$2-$M$2+$B12,$I$3&gt;$L$3-$M$3+$C12),0,COMBIN($I$2-$B12,$M$2-E$8)*COMBIN($B12,E$8)*COMBIN($I$3-$C12,$M$3-E$9)*COMBIN($C12,E$9)),0)</f>
        <v>0</v>
      </c>
      <c r="F12" s="30">
        <f t="shared" si="0"/>
        <v>1</v>
      </c>
      <c r="G12" s="30">
        <f t="shared" si="0"/>
        <v>0</v>
      </c>
      <c r="H12" s="30">
        <f t="shared" si="0"/>
        <v>0</v>
      </c>
      <c r="I12" s="30">
        <f t="shared" si="0"/>
        <v>0</v>
      </c>
      <c r="J12" s="30">
        <f t="shared" si="0"/>
        <v>0</v>
      </c>
      <c r="K12" s="30">
        <f t="shared" si="0"/>
        <v>0</v>
      </c>
      <c r="L12" s="30">
        <f t="shared" si="0"/>
        <v>0</v>
      </c>
      <c r="M12" s="30">
        <f t="shared" si="0"/>
        <v>0</v>
      </c>
      <c r="N12" s="99">
        <v>1003509.36</v>
      </c>
      <c r="O12" s="100">
        <f t="shared" ref="O12:O19" si="4">IF(OR(P12&lt;N12/100,P12&gt;N12*100),1,0)</f>
        <v>0</v>
      </c>
      <c r="P12" s="49">
        <v>1003509.36</v>
      </c>
      <c r="Q12" s="101">
        <f t="shared" si="1"/>
        <v>6.4360114578166722E-8</v>
      </c>
      <c r="R12" s="7" t="str">
        <f t="shared" ref="R12:R19" si="5">CONCATENATE($B12,IF($C12=1,CONCATENATE(" + ",$C$10),""))</f>
        <v>6</v>
      </c>
      <c r="S12" s="14">
        <f t="shared" si="2"/>
        <v>15537573.333333315</v>
      </c>
      <c r="T12" s="52">
        <f t="shared" ref="T12:T19" si="6">IFERROR(U12/S12/U$9,"")</f>
        <v>5.3821647824885632E-2</v>
      </c>
      <c r="U12" s="25">
        <f t="shared" ref="U12:U19" si="7">IFERROR(IF(OR(U$8="",S12="",SUM(O$11:O$31)&gt;0),"",(P$11*$E12+P$12*$F12+P$13*$G12+P$14*$H12+P$15*$I12+P$16*$J12+P$17*$K12+P$18*$L12+P$19*$M12)/T$8),"")</f>
        <v>1003509.36</v>
      </c>
      <c r="V12" s="98">
        <f t="shared" ref="V12:V19" si="8">IFERROR(IF(T12&lt;T$21,T$21/T12,T12/T$21),"")</f>
        <v>1.0322158053635124</v>
      </c>
      <c r="W12" s="98">
        <f t="shared" ref="W12:W19" si="9">IFERROR(T12/IF((S12*U$9)&lt;1500,1500,S12*U$9)^0.25*62.2333,"")</f>
        <v>5.0972825918101164E-2</v>
      </c>
    </row>
    <row r="13" spans="2:23" ht="15" customHeight="1" x14ac:dyDescent="0.25">
      <c r="B13" s="37">
        <v>5</v>
      </c>
      <c r="C13" s="37">
        <v>1</v>
      </c>
      <c r="D13" s="6"/>
      <c r="E13" s="30">
        <f t="shared" si="3"/>
        <v>0</v>
      </c>
      <c r="F13" s="30">
        <f t="shared" si="0"/>
        <v>0</v>
      </c>
      <c r="G13" s="30">
        <f t="shared" si="0"/>
        <v>1</v>
      </c>
      <c r="H13" s="30">
        <f t="shared" si="0"/>
        <v>0</v>
      </c>
      <c r="I13" s="30">
        <f t="shared" si="0"/>
        <v>0</v>
      </c>
      <c r="J13" s="30">
        <f t="shared" si="0"/>
        <v>0</v>
      </c>
      <c r="K13" s="30">
        <f t="shared" si="0"/>
        <v>0</v>
      </c>
      <c r="L13" s="30">
        <f t="shared" si="0"/>
        <v>0</v>
      </c>
      <c r="M13" s="30">
        <f t="shared" si="0"/>
        <v>0</v>
      </c>
      <c r="N13" s="99">
        <v>12135.462027907</v>
      </c>
      <c r="O13" s="100">
        <f t="shared" si="4"/>
        <v>0</v>
      </c>
      <c r="P13" s="49">
        <v>12135.462027907</v>
      </c>
      <c r="Q13" s="101">
        <f t="shared" si="1"/>
        <v>1.8449899512407791E-6</v>
      </c>
      <c r="R13" s="8" t="str">
        <f t="shared" si="5"/>
        <v>5 + SZ</v>
      </c>
      <c r="S13" s="15">
        <f t="shared" si="2"/>
        <v>542008.37209302268</v>
      </c>
      <c r="T13" s="53">
        <f t="shared" si="6"/>
        <v>1.8658171245960385E-2</v>
      </c>
      <c r="U13" s="26">
        <f t="shared" si="7"/>
        <v>12135.462027907</v>
      </c>
      <c r="V13" s="98">
        <f t="shared" si="8"/>
        <v>2.9775455923947418</v>
      </c>
      <c r="W13" s="98">
        <f t="shared" si="9"/>
        <v>4.088792723998496E-2</v>
      </c>
    </row>
    <row r="14" spans="2:23" ht="15" customHeight="1" x14ac:dyDescent="0.25">
      <c r="B14" s="37">
        <v>5</v>
      </c>
      <c r="C14" s="37">
        <v>0</v>
      </c>
      <c r="D14" s="6"/>
      <c r="E14" s="30">
        <f t="shared" si="3"/>
        <v>0</v>
      </c>
      <c r="F14" s="30">
        <f t="shared" si="0"/>
        <v>0</v>
      </c>
      <c r="G14" s="30">
        <f t="shared" si="0"/>
        <v>0</v>
      </c>
      <c r="H14" s="30">
        <f t="shared" si="0"/>
        <v>1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0">
        <f t="shared" si="0"/>
        <v>0</v>
      </c>
      <c r="M14" s="30">
        <f t="shared" si="0"/>
        <v>0</v>
      </c>
      <c r="N14" s="99">
        <v>4019.2235348837198</v>
      </c>
      <c r="O14" s="100">
        <f t="shared" si="4"/>
        <v>0</v>
      </c>
      <c r="P14" s="49">
        <v>4019.2235348837198</v>
      </c>
      <c r="Q14" s="101">
        <f t="shared" si="1"/>
        <v>1.6604909561167014E-5</v>
      </c>
      <c r="R14" s="8" t="str">
        <f t="shared" si="5"/>
        <v>5</v>
      </c>
      <c r="S14" s="15">
        <f t="shared" si="2"/>
        <v>60223.152454780291</v>
      </c>
      <c r="T14" s="53">
        <f t="shared" si="6"/>
        <v>5.5615702752381806E-2</v>
      </c>
      <c r="U14" s="26">
        <f t="shared" si="7"/>
        <v>4019.2235348837198</v>
      </c>
      <c r="V14" s="98">
        <f t="shared" si="8"/>
        <v>1.0010826495428706</v>
      </c>
      <c r="W14" s="98">
        <f t="shared" si="9"/>
        <v>0.2110979797375801</v>
      </c>
    </row>
    <row r="15" spans="2:23" ht="15" customHeight="1" x14ac:dyDescent="0.25">
      <c r="B15" s="37">
        <v>4</v>
      </c>
      <c r="C15" s="37">
        <v>1</v>
      </c>
      <c r="D15" s="6"/>
      <c r="E15" s="30">
        <f t="shared" si="3"/>
        <v>0</v>
      </c>
      <c r="F15" s="30">
        <f t="shared" si="0"/>
        <v>0</v>
      </c>
      <c r="G15" s="30">
        <f t="shared" si="0"/>
        <v>0</v>
      </c>
      <c r="H15" s="30">
        <f t="shared" si="0"/>
        <v>0</v>
      </c>
      <c r="I15" s="30">
        <f t="shared" si="0"/>
        <v>1</v>
      </c>
      <c r="J15" s="30">
        <f t="shared" si="0"/>
        <v>0</v>
      </c>
      <c r="K15" s="30">
        <f t="shared" si="0"/>
        <v>0</v>
      </c>
      <c r="L15" s="30">
        <f t="shared" si="0"/>
        <v>0</v>
      </c>
      <c r="M15" s="30">
        <f t="shared" si="0"/>
        <v>0</v>
      </c>
      <c r="N15" s="99">
        <v>191.14464000000001</v>
      </c>
      <c r="O15" s="100">
        <f t="shared" si="4"/>
        <v>0</v>
      </c>
      <c r="P15" s="49">
        <v>191.14464000000001</v>
      </c>
      <c r="Q15" s="101">
        <f t="shared" si="1"/>
        <v>9.6861972440140856E-5</v>
      </c>
      <c r="R15" s="9" t="str">
        <f t="shared" si="5"/>
        <v>4 + SZ</v>
      </c>
      <c r="S15" s="16">
        <f t="shared" si="2"/>
        <v>10323.968992248056</v>
      </c>
      <c r="T15" s="54">
        <f t="shared" si="6"/>
        <v>1.5428872376467206E-2</v>
      </c>
      <c r="U15" s="27">
        <f t="shared" si="7"/>
        <v>191.14464000000001</v>
      </c>
      <c r="V15" s="98">
        <f t="shared" si="8"/>
        <v>3.6007528094076031</v>
      </c>
      <c r="W15" s="98">
        <f t="shared" si="9"/>
        <v>9.10122881012599E-2</v>
      </c>
    </row>
    <row r="16" spans="2:23" ht="15" customHeight="1" x14ac:dyDescent="0.25">
      <c r="B16" s="37">
        <v>4</v>
      </c>
      <c r="C16" s="37">
        <v>0</v>
      </c>
      <c r="D16" s="6"/>
      <c r="E16" s="30">
        <f t="shared" si="3"/>
        <v>0</v>
      </c>
      <c r="F16" s="30">
        <f t="shared" si="0"/>
        <v>0</v>
      </c>
      <c r="G16" s="30">
        <f t="shared" si="0"/>
        <v>0</v>
      </c>
      <c r="H16" s="30">
        <f t="shared" si="0"/>
        <v>0</v>
      </c>
      <c r="I16" s="30">
        <f t="shared" si="0"/>
        <v>0</v>
      </c>
      <c r="J16" s="30">
        <f t="shared" si="0"/>
        <v>1</v>
      </c>
      <c r="K16" s="30">
        <f t="shared" si="0"/>
        <v>0</v>
      </c>
      <c r="L16" s="30">
        <f t="shared" si="0"/>
        <v>0</v>
      </c>
      <c r="M16" s="30">
        <f t="shared" si="0"/>
        <v>0</v>
      </c>
      <c r="N16" s="99">
        <v>50.379207441860501</v>
      </c>
      <c r="O16" s="100">
        <f t="shared" si="4"/>
        <v>0</v>
      </c>
      <c r="P16" s="49">
        <v>50.379207441860501</v>
      </c>
      <c r="Q16" s="101">
        <f t="shared" si="1"/>
        <v>8.7175775196126769E-4</v>
      </c>
      <c r="R16" s="9" t="str">
        <f t="shared" si="5"/>
        <v>4</v>
      </c>
      <c r="S16" s="16">
        <f t="shared" si="2"/>
        <v>1147.1076658053396</v>
      </c>
      <c r="T16" s="54">
        <f t="shared" si="6"/>
        <v>3.6598720520922237E-2</v>
      </c>
      <c r="U16" s="27">
        <f t="shared" si="7"/>
        <v>50.379207441860501</v>
      </c>
      <c r="V16" s="98">
        <f t="shared" si="8"/>
        <v>1.5179644196522237</v>
      </c>
      <c r="W16" s="98">
        <f t="shared" si="9"/>
        <v>0.36598721856561944</v>
      </c>
    </row>
    <row r="17" spans="2:24" ht="15" customHeight="1" x14ac:dyDescent="0.25">
      <c r="B17" s="37">
        <v>3</v>
      </c>
      <c r="C17" s="37">
        <v>1</v>
      </c>
      <c r="D17" s="6"/>
      <c r="E17" s="30">
        <f t="shared" si="3"/>
        <v>0</v>
      </c>
      <c r="F17" s="30">
        <f t="shared" si="0"/>
        <v>0</v>
      </c>
      <c r="G17" s="30">
        <f t="shared" si="0"/>
        <v>0</v>
      </c>
      <c r="H17" s="30">
        <f t="shared" si="0"/>
        <v>0</v>
      </c>
      <c r="I17" s="30">
        <f t="shared" si="0"/>
        <v>0</v>
      </c>
      <c r="J17" s="30">
        <f t="shared" si="0"/>
        <v>0</v>
      </c>
      <c r="K17" s="30">
        <f t="shared" si="0"/>
        <v>1</v>
      </c>
      <c r="L17" s="30">
        <f t="shared" si="0"/>
        <v>0</v>
      </c>
      <c r="M17" s="30">
        <f t="shared" si="0"/>
        <v>0</v>
      </c>
      <c r="N17" s="99">
        <v>21.223234985819602</v>
      </c>
      <c r="O17" s="100">
        <f t="shared" si="4"/>
        <v>0</v>
      </c>
      <c r="P17" s="49">
        <v>21.223234985819602</v>
      </c>
      <c r="Q17" s="101">
        <f t="shared" si="1"/>
        <v>1.7650403866870093E-3</v>
      </c>
      <c r="R17" s="10" t="str">
        <f t="shared" si="5"/>
        <v>3 + SZ</v>
      </c>
      <c r="S17" s="17">
        <f t="shared" si="2"/>
        <v>566.55927396483298</v>
      </c>
      <c r="T17" s="55">
        <f t="shared" si="6"/>
        <v>3.1216555738433575E-2</v>
      </c>
      <c r="U17" s="28">
        <f t="shared" si="7"/>
        <v>21.223234985819602</v>
      </c>
      <c r="V17" s="98">
        <f t="shared" si="8"/>
        <v>1.7796824230405439</v>
      </c>
      <c r="W17" s="98">
        <f t="shared" si="9"/>
        <v>0.31216556877655677</v>
      </c>
    </row>
    <row r="18" spans="2:24" ht="15" customHeight="1" x14ac:dyDescent="0.25">
      <c r="B18" s="37">
        <v>3</v>
      </c>
      <c r="C18" s="37">
        <v>0</v>
      </c>
      <c r="D18" s="6"/>
      <c r="E18" s="30">
        <f t="shared" si="3"/>
        <v>0</v>
      </c>
      <c r="F18" s="30">
        <f t="shared" si="0"/>
        <v>0</v>
      </c>
      <c r="G18" s="30">
        <f t="shared" si="0"/>
        <v>0</v>
      </c>
      <c r="H18" s="30">
        <f t="shared" si="0"/>
        <v>0</v>
      </c>
      <c r="I18" s="30">
        <f t="shared" si="0"/>
        <v>0</v>
      </c>
      <c r="J18" s="30">
        <f t="shared" si="0"/>
        <v>0</v>
      </c>
      <c r="K18" s="30">
        <f t="shared" si="0"/>
        <v>0</v>
      </c>
      <c r="L18" s="30">
        <f t="shared" si="0"/>
        <v>1</v>
      </c>
      <c r="M18" s="30">
        <f t="shared" si="0"/>
        <v>0</v>
      </c>
      <c r="N18" s="99">
        <v>11.140165490640999</v>
      </c>
      <c r="O18" s="100">
        <f t="shared" si="4"/>
        <v>0</v>
      </c>
      <c r="P18" s="49">
        <v>11.140165490640999</v>
      </c>
      <c r="Q18" s="101">
        <f t="shared" si="1"/>
        <v>1.5885363480183084E-2</v>
      </c>
      <c r="R18" s="10" t="str">
        <f t="shared" si="5"/>
        <v>3</v>
      </c>
      <c r="S18" s="17">
        <f t="shared" si="2"/>
        <v>62.951030440536996</v>
      </c>
      <c r="T18" s="55">
        <f t="shared" si="6"/>
        <v>0.14747131504018698</v>
      </c>
      <c r="U18" s="28">
        <f t="shared" si="7"/>
        <v>11.140165490640999</v>
      </c>
      <c r="V18" s="98">
        <f t="shared" si="8"/>
        <v>2.6544836707233608</v>
      </c>
      <c r="W18" s="98">
        <f t="shared" si="9"/>
        <v>1.4747132042202933</v>
      </c>
    </row>
    <row r="19" spans="2:24" ht="15" customHeight="1" x14ac:dyDescent="0.25">
      <c r="B19" s="37">
        <v>2</v>
      </c>
      <c r="C19" s="37">
        <v>1</v>
      </c>
      <c r="D19" s="6"/>
      <c r="E19" s="30">
        <f t="shared" si="3"/>
        <v>0</v>
      </c>
      <c r="F19" s="30">
        <f t="shared" si="0"/>
        <v>0</v>
      </c>
      <c r="G19" s="30">
        <f t="shared" si="0"/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  <c r="K19" s="30">
        <f t="shared" si="0"/>
        <v>0</v>
      </c>
      <c r="L19" s="30">
        <f t="shared" si="0"/>
        <v>0</v>
      </c>
      <c r="M19" s="30">
        <f t="shared" si="0"/>
        <v>1</v>
      </c>
      <c r="N19" s="99">
        <v>6</v>
      </c>
      <c r="O19" s="100">
        <f t="shared" si="4"/>
        <v>0</v>
      </c>
      <c r="P19" s="49">
        <v>6</v>
      </c>
      <c r="Q19" s="101">
        <f t="shared" si="1"/>
        <v>1.3237802900152586E-2</v>
      </c>
      <c r="R19" s="11" t="str">
        <f t="shared" si="5"/>
        <v>2 + SZ</v>
      </c>
      <c r="S19" s="18">
        <f t="shared" si="2"/>
        <v>75.541236528644305</v>
      </c>
      <c r="T19" s="56">
        <f t="shared" si="6"/>
        <v>6.6189014500762922E-2</v>
      </c>
      <c r="U19" s="29">
        <f t="shared" si="7"/>
        <v>6</v>
      </c>
      <c r="V19" s="98">
        <f t="shared" si="8"/>
        <v>1.1914022610137305</v>
      </c>
      <c r="W19" s="98">
        <f t="shared" si="9"/>
        <v>0.66189016916275667</v>
      </c>
    </row>
    <row r="20" spans="2:24" ht="15" customHeight="1" x14ac:dyDescent="0.25">
      <c r="R20" s="12" t="s">
        <v>8</v>
      </c>
      <c r="S20" s="19">
        <f>IFERROR(1/SUM(Q11:Q19),"")</f>
        <v>31.372206605210671</v>
      </c>
      <c r="T20" s="58">
        <f>IF(SUM(T11:T19)=0,"",SUM(T11:T19))</f>
        <v>0.50000000000000089</v>
      </c>
      <c r="U20" s="20">
        <f>IFERROR(U9*T20,"")</f>
        <v>0.60000000000000109</v>
      </c>
      <c r="W20" s="98"/>
    </row>
    <row r="21" spans="2:24" ht="15" customHeight="1" x14ac:dyDescent="0.25">
      <c r="R21" s="13"/>
      <c r="S21" s="13"/>
      <c r="T21" s="101">
        <f>IFERROR(AVERAGE(T11:T19),"")</f>
        <v>5.5555555555555657E-2</v>
      </c>
      <c r="U21" s="13"/>
      <c r="V21" s="98">
        <f>IFERROR(AVERAGE(V11:V19),"")</f>
        <v>1.9005699590153984</v>
      </c>
      <c r="W21" s="98">
        <f>IF(SUM(W11:W19)=0,"",SUM(W11:W19))</f>
        <v>3.2497364818195629</v>
      </c>
    </row>
    <row r="22" spans="2:24" ht="15" customHeight="1" x14ac:dyDescent="0.25"/>
    <row r="23" spans="2:24" ht="15" customHeight="1" x14ac:dyDescent="0.25">
      <c r="B23" s="39" t="s">
        <v>36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2:24" ht="15" customHeight="1" x14ac:dyDescent="0.25">
      <c r="B24" s="39" t="s">
        <v>35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2:24" ht="15" customHeight="1" thickBot="1" x14ac:dyDescent="0.3"/>
    <row r="26" spans="2:24" ht="15" customHeight="1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2:24" ht="15" customHeight="1" x14ac:dyDescent="0.25">
      <c r="B27" s="74" t="s">
        <v>11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</row>
    <row r="28" spans="2:24" ht="7.5" customHeight="1" x14ac:dyDescent="0.25">
      <c r="B28"/>
      <c r="C28"/>
      <c r="D28"/>
      <c r="E28"/>
      <c r="F28"/>
      <c r="G28"/>
      <c r="H28"/>
      <c r="I28"/>
    </row>
    <row r="29" spans="2:24" ht="15" customHeight="1" x14ac:dyDescent="0.25">
      <c r="B29" s="75" t="s">
        <v>12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</row>
    <row r="31" spans="2:24" x14ac:dyDescent="0.25">
      <c r="P31" s="50"/>
    </row>
  </sheetData>
  <sheetProtection algorithmName="SHA-512" hashValue="EHZ0oE5ix9LKveb7QRYV4nL7qrfgBuiRUJm+UsnPdafdj7Mfunw6dzfJ+HISlzlm+yOWsMiRMLIT9ivI9nHCng==" saltValue="cBlUqdW6RhCo6aci/jHX5A==" spinCount="100000" sheet="1" objects="1" scenarios="1" selectLockedCells="1"/>
  <mergeCells count="18">
    <mergeCell ref="B2:H2"/>
    <mergeCell ref="B3:H3"/>
    <mergeCell ref="B4:H4"/>
    <mergeCell ref="B5:H5"/>
    <mergeCell ref="R2:T2"/>
    <mergeCell ref="R3:T3"/>
    <mergeCell ref="R4:T4"/>
    <mergeCell ref="I2:J2"/>
    <mergeCell ref="I3:J3"/>
    <mergeCell ref="I4:J4"/>
    <mergeCell ref="I5:J5"/>
    <mergeCell ref="R5:T5"/>
    <mergeCell ref="B27:X27"/>
    <mergeCell ref="B29:X29"/>
    <mergeCell ref="R8:S8"/>
    <mergeCell ref="R9:S9"/>
    <mergeCell ref="B8:C9"/>
    <mergeCell ref="P9:P10"/>
  </mergeCells>
  <conditionalFormatting sqref="E11:M19">
    <cfRule type="expression" dxfId="111" priority="23">
      <formula>IF(AND(E11&gt;0,E11&lt;1000000000),TRUE,FALSE)</formula>
    </cfRule>
    <cfRule type="expression" dxfId="110" priority="38">
      <formula>IF(E11&gt;=1000000,TRUE,FALSE)</formula>
    </cfRule>
  </conditionalFormatting>
  <conditionalFormatting sqref="T20">
    <cfRule type="cellIs" dxfId="109" priority="40" stopIfTrue="1" operator="greaterThanOrEqual">
      <formula>0.6</formula>
    </cfRule>
    <cfRule type="cellIs" dxfId="108" priority="41" stopIfTrue="1" operator="greaterThanOrEqual">
      <formula>0.4</formula>
    </cfRule>
    <cfRule type="cellIs" dxfId="107" priority="45" stopIfTrue="1" operator="lessThan">
      <formula>0.4</formula>
    </cfRule>
  </conditionalFormatting>
  <conditionalFormatting sqref="E11:M19">
    <cfRule type="expression" dxfId="106" priority="37">
      <formula>IF(E11=0,TRUE,FALSE)</formula>
    </cfRule>
  </conditionalFormatting>
  <conditionalFormatting sqref="I4">
    <cfRule type="expression" dxfId="105" priority="22">
      <formula>IF(I4="",FALSE,IF(OR(I4&lt;1,I4&gt;1000000),TRUE,FALSE))</formula>
    </cfRule>
  </conditionalFormatting>
  <conditionalFormatting sqref="I5">
    <cfRule type="expression" dxfId="104" priority="20">
      <formula>IF(I5="",FALSE,IF(OR(I5&lt;0.01,I5&gt;100),TRUE,FALSE))</formula>
    </cfRule>
  </conditionalFormatting>
  <conditionalFormatting sqref="I3">
    <cfRule type="expression" dxfId="103" priority="19">
      <formula>IF(I3="",FALSE,IF(OR(I3&lt;M3,I3&gt;L3),TRUE,FALSE))</formula>
    </cfRule>
  </conditionalFormatting>
  <conditionalFormatting sqref="I2">
    <cfRule type="expression" dxfId="102" priority="18">
      <formula>IF(I2="",FALSE,IF(OR(I2&lt;M2,I2&gt;L2),TRUE,FALSE))</formula>
    </cfRule>
  </conditionalFormatting>
  <conditionalFormatting sqref="P11:P19">
    <cfRule type="expression" dxfId="101" priority="17">
      <formula>IF(P11="",FALSE,IF(OR(P11&lt;N11/100,P11&gt;N11*100),TRUE,FALSE))</formula>
    </cfRule>
  </conditionalFormatting>
  <conditionalFormatting sqref="U9">
    <cfRule type="expression" dxfId="100" priority="3">
      <formula>IF(U9&gt;=99999999.5,TRUE,FALSE)</formula>
    </cfRule>
    <cfRule type="expression" dxfId="99" priority="4">
      <formula>IF(U9&gt;=99999.95,TRUE,FALSE)</formula>
    </cfRule>
    <cfRule type="expression" dxfId="98" priority="5">
      <formula>IF(U9&gt;=9999.995,TRUE,FALSE)</formula>
    </cfRule>
  </conditionalFormatting>
  <conditionalFormatting sqref="T11:T20">
    <cfRule type="expression" dxfId="97" priority="1">
      <formula>IF(T11&gt;=100,TRUE,FALSE)</formula>
    </cfRule>
    <cfRule type="expression" dxfId="96" priority="2">
      <formula>IF(T11&gt;=10,TRUE,FALSE)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9"/>
  <sheetViews>
    <sheetView showGridLines="0" zoomScaleNormal="100" workbookViewId="0">
      <selection activeCell="I2" sqref="I2:J2"/>
    </sheetView>
  </sheetViews>
  <sheetFormatPr baseColWidth="10" defaultRowHeight="14.25" x14ac:dyDescent="0.25"/>
  <cols>
    <col min="1" max="1" width="2.85546875" style="1" customWidth="1"/>
    <col min="2" max="3" width="6.28515625" style="1" customWidth="1"/>
    <col min="4" max="4" width="4.28515625" style="1" customWidth="1"/>
    <col min="5" max="13" width="6.28515625" style="1" customWidth="1"/>
    <col min="14" max="15" width="2.140625" style="1" customWidth="1"/>
    <col min="16" max="16" width="17" style="1" customWidth="1"/>
    <col min="17" max="17" width="4.28515625" style="1" customWidth="1"/>
    <col min="18" max="18" width="8.85546875" style="1" customWidth="1"/>
    <col min="19" max="19" width="14.28515625" style="1" customWidth="1"/>
    <col min="20" max="20" width="8.28515625" style="1" customWidth="1"/>
    <col min="21" max="21" width="14.85546875" style="1" customWidth="1"/>
    <col min="22" max="24" width="6.28515625" style="1" customWidth="1"/>
    <col min="25" max="16384" width="11.42578125" style="1"/>
  </cols>
  <sheetData>
    <row r="1" spans="2:23" ht="15" customHeight="1" x14ac:dyDescent="0.25"/>
    <row r="2" spans="2:23" ht="15" customHeight="1" x14ac:dyDescent="0.25">
      <c r="B2" s="83" t="str">
        <f>CONCATENATE("Anzahl Normalzahlen (",K2,") im Vollsystem:")</f>
        <v>Anzahl Normalzahlen (NZ) im Vollsystem:</v>
      </c>
      <c r="C2" s="84"/>
      <c r="D2" s="84"/>
      <c r="E2" s="84"/>
      <c r="F2" s="84"/>
      <c r="G2" s="84"/>
      <c r="H2" s="85"/>
      <c r="I2" s="92">
        <v>5</v>
      </c>
      <c r="J2" s="93"/>
      <c r="K2" s="96" t="s">
        <v>0</v>
      </c>
      <c r="L2" s="96">
        <v>69</v>
      </c>
      <c r="M2" s="96">
        <v>5</v>
      </c>
      <c r="N2" s="97" t="s">
        <v>26</v>
      </c>
      <c r="O2" s="97"/>
      <c r="R2" s="89" t="s">
        <v>13</v>
      </c>
      <c r="S2" s="90"/>
      <c r="T2" s="91"/>
      <c r="U2" s="51">
        <f>IFERROR(W21,"")</f>
        <v>0.62985876567110721</v>
      </c>
    </row>
    <row r="3" spans="2:23" ht="15" customHeight="1" x14ac:dyDescent="0.25">
      <c r="B3" s="83" t="str">
        <f>CONCATENATE("Anzahl ",N3," (",K3,") im Vollsystem:")</f>
        <v>Anzahl PowerBalls (PB) im Vollsystem:</v>
      </c>
      <c r="C3" s="84"/>
      <c r="D3" s="84"/>
      <c r="E3" s="84"/>
      <c r="F3" s="84"/>
      <c r="G3" s="84"/>
      <c r="H3" s="85"/>
      <c r="I3" s="92">
        <v>1</v>
      </c>
      <c r="J3" s="93"/>
      <c r="K3" s="96" t="s">
        <v>28</v>
      </c>
      <c r="L3" s="96">
        <v>26</v>
      </c>
      <c r="M3" s="96">
        <v>1</v>
      </c>
      <c r="N3" s="97" t="s">
        <v>27</v>
      </c>
      <c r="O3" s="97"/>
      <c r="R3" s="89" t="s">
        <v>10</v>
      </c>
      <c r="S3" s="90"/>
      <c r="T3" s="91"/>
      <c r="U3" s="35">
        <f>IFERROR(V21,"")</f>
        <v>4.970131967715874</v>
      </c>
    </row>
    <row r="4" spans="2:23" ht="15" customHeight="1" x14ac:dyDescent="0.25">
      <c r="B4" s="86" t="s">
        <v>14</v>
      </c>
      <c r="C4" s="87"/>
      <c r="D4" s="87"/>
      <c r="E4" s="87"/>
      <c r="F4" s="87"/>
      <c r="G4" s="87"/>
      <c r="H4" s="88"/>
      <c r="I4" s="92">
        <v>1</v>
      </c>
      <c r="J4" s="93"/>
      <c r="R4" s="89" t="s">
        <v>9</v>
      </c>
      <c r="S4" s="90"/>
      <c r="T4" s="91"/>
      <c r="U4" s="36">
        <f>IFERROR(1/S20,"")</f>
        <v>4.0213840499251877E-2</v>
      </c>
    </row>
    <row r="5" spans="2:23" ht="15" customHeight="1" x14ac:dyDescent="0.25">
      <c r="B5" s="89" t="s">
        <v>15</v>
      </c>
      <c r="C5" s="90"/>
      <c r="D5" s="90"/>
      <c r="E5" s="90"/>
      <c r="F5" s="90"/>
      <c r="G5" s="90"/>
      <c r="H5" s="91"/>
      <c r="I5" s="94">
        <v>3</v>
      </c>
      <c r="J5" s="95"/>
      <c r="K5" s="34"/>
      <c r="L5" s="34"/>
      <c r="M5" s="34"/>
      <c r="N5" s="34"/>
      <c r="O5" s="34"/>
      <c r="P5" s="34"/>
      <c r="R5" s="89" t="s">
        <v>34</v>
      </c>
      <c r="S5" s="90"/>
      <c r="T5" s="91"/>
      <c r="U5" s="36">
        <f>IFERROR(IF(U8="","",SUMIF(U11:U19,"&gt;"&amp;U9,Q11:Q19)),"")</f>
        <v>4.0213840499251877E-2</v>
      </c>
    </row>
    <row r="6" spans="2:23" ht="15" customHeight="1" x14ac:dyDescent="0.25"/>
    <row r="7" spans="2:23" ht="15" customHeight="1" x14ac:dyDescent="0.25"/>
    <row r="8" spans="2:23" ht="15" customHeight="1" x14ac:dyDescent="0.25">
      <c r="B8" s="80" t="s">
        <v>1</v>
      </c>
      <c r="C8" s="80"/>
      <c r="D8" s="2" t="str">
        <f>K2</f>
        <v>NZ</v>
      </c>
      <c r="E8" s="37">
        <v>5</v>
      </c>
      <c r="F8" s="37">
        <v>5</v>
      </c>
      <c r="G8" s="37">
        <v>4</v>
      </c>
      <c r="H8" s="37">
        <v>4</v>
      </c>
      <c r="I8" s="37">
        <v>3</v>
      </c>
      <c r="J8" s="37">
        <v>3</v>
      </c>
      <c r="K8" s="37">
        <v>2</v>
      </c>
      <c r="L8" s="37">
        <v>1</v>
      </c>
      <c r="M8" s="37">
        <v>0</v>
      </c>
      <c r="P8" s="41" t="str">
        <f>$N$2</f>
        <v>PowerBall</v>
      </c>
      <c r="R8" s="76" t="str">
        <f>IFERROR(IF(OR($I$2&gt;$L$2,$I$2&lt;$M$2,$I$3&gt;$L$3,$I$3&lt;$M$3),$N$2,CONCATENATE($N$2," (",$I$2,"/",$I$3,")")),"")</f>
        <v>PowerBall (5/1)</v>
      </c>
      <c r="S8" s="77"/>
      <c r="T8" s="32">
        <f>IFERROR(IF(OR($I$4&lt;1,$I$4&gt;1000000),"",$I$4),"")</f>
        <v>1</v>
      </c>
      <c r="U8" s="24">
        <f>IFERROR(IF(OR($I$2&gt;$L$2,$I$2&lt;$M$2,$I$3&gt;$L$3,$I$3&lt;$M$3),"",COMBIN($I$2,$M$2)*COMBIN($I$3,$M$3)),"")</f>
        <v>1</v>
      </c>
      <c r="V8" s="98"/>
      <c r="W8" s="98"/>
    </row>
    <row r="9" spans="2:23" ht="15" customHeight="1" x14ac:dyDescent="0.25">
      <c r="B9" s="80"/>
      <c r="C9" s="80"/>
      <c r="D9" s="2" t="str">
        <f>K3</f>
        <v>PB</v>
      </c>
      <c r="E9" s="37">
        <v>1</v>
      </c>
      <c r="F9" s="37">
        <v>0</v>
      </c>
      <c r="G9" s="37">
        <v>1</v>
      </c>
      <c r="H9" s="37">
        <v>0</v>
      </c>
      <c r="I9" s="37">
        <v>1</v>
      </c>
      <c r="J9" s="37">
        <v>0</v>
      </c>
      <c r="K9" s="37">
        <v>1</v>
      </c>
      <c r="L9" s="37">
        <v>1</v>
      </c>
      <c r="M9" s="37">
        <v>1</v>
      </c>
      <c r="P9" s="81" t="s">
        <v>17</v>
      </c>
      <c r="R9" s="78" t="str">
        <f>CONCATENATE($M$2," aus ",$L$2," + ",$M$3," aus ",$L$3)</f>
        <v>5 aus 69 + 1 aus 26</v>
      </c>
      <c r="S9" s="79"/>
      <c r="T9" s="33" t="str">
        <f>IF(T8=1,"Anteil","Anteile")</f>
        <v>Anteil</v>
      </c>
      <c r="U9" s="40">
        <f>IFERROR(IF(OR($I$5&lt;0.01,$I$5&gt;100),"",U8*$I$5/T8),"")</f>
        <v>3</v>
      </c>
      <c r="V9" s="98"/>
      <c r="W9" s="98"/>
    </row>
    <row r="10" spans="2:23" ht="15" customHeight="1" x14ac:dyDescent="0.25">
      <c r="B10" s="3" t="str">
        <f>K2</f>
        <v>NZ</v>
      </c>
      <c r="C10" s="3" t="str">
        <f>K3</f>
        <v>PB</v>
      </c>
      <c r="D10" s="4"/>
      <c r="E10" s="5"/>
      <c r="F10" s="5"/>
      <c r="G10" s="5"/>
      <c r="H10" s="5"/>
      <c r="I10" s="5"/>
      <c r="J10" s="5"/>
      <c r="K10" s="5"/>
      <c r="L10" s="5"/>
      <c r="M10" s="5"/>
      <c r="P10" s="82"/>
      <c r="R10" s="21" t="s">
        <v>4</v>
      </c>
      <c r="S10" s="21" t="s">
        <v>5</v>
      </c>
      <c r="T10" s="21" t="s">
        <v>6</v>
      </c>
      <c r="U10" s="21" t="s">
        <v>7</v>
      </c>
      <c r="V10" s="98"/>
      <c r="W10" s="98"/>
    </row>
    <row r="11" spans="2:23" ht="15" customHeight="1" x14ac:dyDescent="0.25">
      <c r="B11" s="37">
        <v>5</v>
      </c>
      <c r="C11" s="37">
        <v>1</v>
      </c>
      <c r="D11" s="6"/>
      <c r="E11" s="30">
        <f>IFERROR(IF(OR($I$2&gt;$L$2-$M$2+$B11,$I$3&gt;$L$3-$M$3+$C11),0,COMBIN($I$2-$B11,$M$2-E$8)*COMBIN($B11,E$8)*COMBIN($I$3-$C11,$M$3-E$9)*COMBIN($C11,E$9)),0)</f>
        <v>1</v>
      </c>
      <c r="F11" s="30">
        <f t="shared" ref="F11:M19" si="0">IFERROR(IF(OR($I$2&gt;$L$2-$M$2+$B11,$I$3&gt;$L$3-$M$3+$C11),0,COMBIN($I$2-$B11,$M$2-F$8)*COMBIN($B11,F$8)*COMBIN($I$3-$C11,$M$3-F$9)*COMBIN($C11,F$9)),0)</f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99">
        <v>55708690.909090906</v>
      </c>
      <c r="O11" s="100">
        <f>IF(OR(P11&lt;N11/100,P11&gt;N11*100),1,0)</f>
        <v>0</v>
      </c>
      <c r="P11" s="49">
        <f>164730000*0.6*0.62/1.1</f>
        <v>55708690.909090906</v>
      </c>
      <c r="Q11" s="101">
        <f t="shared" ref="Q11:Q19" si="1">IFERROR(IF(U11=0,0,1/S11),"")</f>
        <v>3.4222978130236971E-9</v>
      </c>
      <c r="R11" s="7" t="str">
        <f>CONCATENATE($B11,IF($C11=1,CONCATENATE(" + ",$C$10),""))</f>
        <v>5 + PB</v>
      </c>
      <c r="S11" s="14">
        <f t="shared" ref="S11:S19" si="2">IFERROR(IF(OR(U$8="",SUM(O$11:O$31)&gt;0),"",1/(HYPGEOMDIST($B11,$I$2,$M$2,$L$2)*HYPGEOMDIST($C11,$I$3,$M$3,$L$3))),"")</f>
        <v>292201338.00000054</v>
      </c>
      <c r="T11" s="52">
        <f t="shared" ref="T11:T19" si="3">IFERROR(U11/S11/U$9,"")</f>
        <v>6.3550577021531648E-2</v>
      </c>
      <c r="U11" s="25">
        <f>IFERROR(IF(OR(U$8="",S11="",SUM(O$11:O$31)&gt;0),"",(P$11*$E11+P$12*$F11+P$13*$G11+P$14*$H11+P$15*$I11+P$16*$J11+P$17*$K11+P$18*$L11+P$19*$M11)/T$8),"")</f>
        <v>55708690.909090906</v>
      </c>
      <c r="V11" s="98">
        <f>IFERROR(IF(T11&lt;T$21,T$21/T11,T11/T$21),"")</f>
        <v>3.7529787645529806</v>
      </c>
      <c r="W11" s="98">
        <f>IFERROR(T11/IF((S11*U$9)&lt;1500,1500,S11*U$9)^0.25*62.2333,"")</f>
        <v>2.2984838948166431E-2</v>
      </c>
    </row>
    <row r="12" spans="2:23" ht="15" customHeight="1" x14ac:dyDescent="0.25">
      <c r="B12" s="37">
        <v>5</v>
      </c>
      <c r="C12" s="37">
        <v>0</v>
      </c>
      <c r="D12" s="6"/>
      <c r="E12" s="30">
        <f t="shared" ref="E12:E19" si="4">IFERROR(IF(OR($I$2&gt;$L$2-$M$2+$B12,$I$3&gt;$L$3-$M$3+$C12),0,COMBIN($I$2-$B12,$M$2-E$8)*COMBIN($B12,E$8)*COMBIN($I$3-$C12,$M$3-E$9)*COMBIN($C12,E$9)),0)</f>
        <v>0</v>
      </c>
      <c r="F12" s="30">
        <f t="shared" si="0"/>
        <v>1</v>
      </c>
      <c r="G12" s="30">
        <f t="shared" si="0"/>
        <v>0</v>
      </c>
      <c r="H12" s="30">
        <f t="shared" si="0"/>
        <v>0</v>
      </c>
      <c r="I12" s="30">
        <f t="shared" si="0"/>
        <v>0</v>
      </c>
      <c r="J12" s="30">
        <f t="shared" si="0"/>
        <v>0</v>
      </c>
      <c r="K12" s="30">
        <f t="shared" si="0"/>
        <v>0</v>
      </c>
      <c r="L12" s="30">
        <f t="shared" si="0"/>
        <v>0</v>
      </c>
      <c r="M12" s="30">
        <f t="shared" si="0"/>
        <v>0</v>
      </c>
      <c r="N12" s="99">
        <v>620000</v>
      </c>
      <c r="O12" s="100">
        <f t="shared" ref="O12:O19" si="5">IF(OR(P12&lt;N12/100,P12&gt;N12*100),1,0)</f>
        <v>0</v>
      </c>
      <c r="P12" s="49">
        <f>1000000*0.62</f>
        <v>620000</v>
      </c>
      <c r="Q12" s="101">
        <f t="shared" si="1"/>
        <v>8.555744532559244E-8</v>
      </c>
      <c r="R12" s="7" t="str">
        <f t="shared" ref="R12:R19" si="6">CONCATENATE($B12,IF($C12=1,CONCATENATE(" + ",$C$10),""))</f>
        <v>5</v>
      </c>
      <c r="S12" s="14">
        <f t="shared" si="2"/>
        <v>11688053.52000002</v>
      </c>
      <c r="T12" s="52">
        <f t="shared" si="3"/>
        <v>1.7681872033955773E-2</v>
      </c>
      <c r="U12" s="42">
        <f t="shared" ref="U12:U19" si="7">IFERROR(IF(OR(U$8="",S12="",SUM(O$11:O$31)&gt;0),"",(P$11*$E12+P$12*$F12+P$13*$G12+P$14*$H12+P$15*$I12+P$16*$J12+P$17*$K12+P$18*$L12+P$19*$M12)/T$8),"")</f>
        <v>620000</v>
      </c>
      <c r="V12" s="98">
        <f t="shared" ref="V12:V19" si="8">IFERROR(IF(T12&lt;T$21,T$21/T12,T12/T$21),"")</f>
        <v>1.0442027967503085</v>
      </c>
      <c r="W12" s="98">
        <f t="shared" ref="W12:W19" si="9">IFERROR(T12/IF((S12*U$9)&lt;1500,1500,S12*U$9)^0.25*62.2333,"")</f>
        <v>1.4299972827754366E-2</v>
      </c>
    </row>
    <row r="13" spans="2:23" ht="15" customHeight="1" x14ac:dyDescent="0.25">
      <c r="B13" s="37">
        <v>4</v>
      </c>
      <c r="C13" s="37">
        <v>1</v>
      </c>
      <c r="D13" s="6"/>
      <c r="E13" s="30">
        <f t="shared" si="4"/>
        <v>0</v>
      </c>
      <c r="F13" s="30">
        <f t="shared" si="0"/>
        <v>0</v>
      </c>
      <c r="G13" s="30">
        <f t="shared" si="0"/>
        <v>1</v>
      </c>
      <c r="H13" s="30">
        <f t="shared" si="0"/>
        <v>0</v>
      </c>
      <c r="I13" s="30">
        <f t="shared" si="0"/>
        <v>0</v>
      </c>
      <c r="J13" s="30">
        <f t="shared" si="0"/>
        <v>0</v>
      </c>
      <c r="K13" s="30">
        <f t="shared" si="0"/>
        <v>0</v>
      </c>
      <c r="L13" s="30">
        <f t="shared" si="0"/>
        <v>0</v>
      </c>
      <c r="M13" s="30">
        <f t="shared" si="0"/>
        <v>0</v>
      </c>
      <c r="N13" s="99">
        <v>31000</v>
      </c>
      <c r="O13" s="100">
        <f t="shared" si="5"/>
        <v>0</v>
      </c>
      <c r="P13" s="49">
        <f>50000*0.62</f>
        <v>31000</v>
      </c>
      <c r="Q13" s="101">
        <f t="shared" si="1"/>
        <v>1.0951353001675859E-6</v>
      </c>
      <c r="R13" s="8" t="str">
        <f t="shared" si="6"/>
        <v>4 + PB</v>
      </c>
      <c r="S13" s="15">
        <f t="shared" si="2"/>
        <v>913129.18124999932</v>
      </c>
      <c r="T13" s="53">
        <f t="shared" si="3"/>
        <v>1.131639810173172E-2</v>
      </c>
      <c r="U13" s="43">
        <f t="shared" si="7"/>
        <v>31000</v>
      </c>
      <c r="V13" s="98">
        <f t="shared" si="8"/>
        <v>1.4963568426197427</v>
      </c>
      <c r="W13" s="98">
        <f t="shared" si="9"/>
        <v>1.7310821517852341E-2</v>
      </c>
    </row>
    <row r="14" spans="2:23" ht="15" customHeight="1" x14ac:dyDescent="0.25">
      <c r="B14" s="37">
        <v>4</v>
      </c>
      <c r="C14" s="37">
        <v>0</v>
      </c>
      <c r="D14" s="6"/>
      <c r="E14" s="30">
        <f t="shared" si="4"/>
        <v>0</v>
      </c>
      <c r="F14" s="30">
        <f t="shared" si="0"/>
        <v>0</v>
      </c>
      <c r="G14" s="30">
        <f t="shared" si="0"/>
        <v>0</v>
      </c>
      <c r="H14" s="30">
        <f t="shared" si="0"/>
        <v>1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0">
        <f t="shared" si="0"/>
        <v>0</v>
      </c>
      <c r="M14" s="30">
        <f t="shared" si="0"/>
        <v>0</v>
      </c>
      <c r="N14" s="99">
        <v>100</v>
      </c>
      <c r="O14" s="100">
        <f t="shared" si="5"/>
        <v>0</v>
      </c>
      <c r="P14" s="49">
        <v>100</v>
      </c>
      <c r="Q14" s="101">
        <f t="shared" si="1"/>
        <v>2.7378382504189653E-5</v>
      </c>
      <c r="R14" s="8" t="str">
        <f t="shared" si="6"/>
        <v>4</v>
      </c>
      <c r="S14" s="15">
        <f t="shared" si="2"/>
        <v>36525.167249999969</v>
      </c>
      <c r="T14" s="53">
        <f t="shared" si="3"/>
        <v>9.1261275013965507E-4</v>
      </c>
      <c r="U14" s="43">
        <f t="shared" si="7"/>
        <v>100</v>
      </c>
      <c r="V14" s="98">
        <f t="shared" si="8"/>
        <v>18.554824848484806</v>
      </c>
      <c r="W14" s="98">
        <f t="shared" si="9"/>
        <v>3.1216269080874145E-3</v>
      </c>
    </row>
    <row r="15" spans="2:23" ht="15" customHeight="1" x14ac:dyDescent="0.25">
      <c r="B15" s="37">
        <v>3</v>
      </c>
      <c r="C15" s="37">
        <v>1</v>
      </c>
      <c r="D15" s="6"/>
      <c r="E15" s="30">
        <f t="shared" si="4"/>
        <v>0</v>
      </c>
      <c r="F15" s="30">
        <f t="shared" si="0"/>
        <v>0</v>
      </c>
      <c r="G15" s="30">
        <f t="shared" si="0"/>
        <v>0</v>
      </c>
      <c r="H15" s="30">
        <f t="shared" si="0"/>
        <v>0</v>
      </c>
      <c r="I15" s="30">
        <f t="shared" si="0"/>
        <v>1</v>
      </c>
      <c r="J15" s="30">
        <f t="shared" si="0"/>
        <v>0</v>
      </c>
      <c r="K15" s="30">
        <f t="shared" si="0"/>
        <v>0</v>
      </c>
      <c r="L15" s="30">
        <f t="shared" si="0"/>
        <v>0</v>
      </c>
      <c r="M15" s="30">
        <f t="shared" si="0"/>
        <v>0</v>
      </c>
      <c r="N15" s="99">
        <v>100</v>
      </c>
      <c r="O15" s="100">
        <f t="shared" si="5"/>
        <v>0</v>
      </c>
      <c r="P15" s="49">
        <v>100</v>
      </c>
      <c r="Q15" s="101">
        <f t="shared" si="1"/>
        <v>6.8993523910557754E-5</v>
      </c>
      <c r="R15" s="9" t="str">
        <f t="shared" si="6"/>
        <v>3 + PB</v>
      </c>
      <c r="S15" s="16">
        <f t="shared" si="2"/>
        <v>14494.113988095261</v>
      </c>
      <c r="T15" s="54">
        <f t="shared" si="3"/>
        <v>2.299784130351925E-3</v>
      </c>
      <c r="U15" s="44">
        <f t="shared" si="7"/>
        <v>100</v>
      </c>
      <c r="V15" s="98">
        <f t="shared" si="8"/>
        <v>7.3630257335257348</v>
      </c>
      <c r="W15" s="98">
        <f t="shared" si="9"/>
        <v>9.9113239591706211E-3</v>
      </c>
    </row>
    <row r="16" spans="2:23" ht="15" customHeight="1" x14ac:dyDescent="0.25">
      <c r="B16" s="37">
        <v>3</v>
      </c>
      <c r="C16" s="37">
        <v>0</v>
      </c>
      <c r="D16" s="6"/>
      <c r="E16" s="30">
        <f t="shared" si="4"/>
        <v>0</v>
      </c>
      <c r="F16" s="30">
        <f t="shared" si="0"/>
        <v>0</v>
      </c>
      <c r="G16" s="30">
        <f t="shared" si="0"/>
        <v>0</v>
      </c>
      <c r="H16" s="30">
        <f t="shared" si="0"/>
        <v>0</v>
      </c>
      <c r="I16" s="30">
        <f t="shared" si="0"/>
        <v>0</v>
      </c>
      <c r="J16" s="30">
        <f t="shared" si="0"/>
        <v>1</v>
      </c>
      <c r="K16" s="30">
        <f t="shared" si="0"/>
        <v>0</v>
      </c>
      <c r="L16" s="30">
        <f t="shared" si="0"/>
        <v>0</v>
      </c>
      <c r="M16" s="30">
        <f t="shared" si="0"/>
        <v>0</v>
      </c>
      <c r="N16" s="99">
        <v>7</v>
      </c>
      <c r="O16" s="100">
        <f t="shared" si="5"/>
        <v>0</v>
      </c>
      <c r="P16" s="49">
        <v>7</v>
      </c>
      <c r="Q16" s="101">
        <f t="shared" si="1"/>
        <v>1.7248380977639441E-3</v>
      </c>
      <c r="R16" s="9" t="str">
        <f t="shared" si="6"/>
        <v>3</v>
      </c>
      <c r="S16" s="16">
        <f t="shared" si="2"/>
        <v>579.76455952381036</v>
      </c>
      <c r="T16" s="54">
        <f t="shared" si="3"/>
        <v>4.0246222281158693E-3</v>
      </c>
      <c r="U16" s="44">
        <f t="shared" si="7"/>
        <v>7</v>
      </c>
      <c r="V16" s="98">
        <f t="shared" si="8"/>
        <v>4.2074432763004195</v>
      </c>
      <c r="W16" s="98">
        <f t="shared" si="9"/>
        <v>3.8784189709523749E-2</v>
      </c>
    </row>
    <row r="17" spans="2:24" ht="15" customHeight="1" x14ac:dyDescent="0.25">
      <c r="B17" s="37">
        <v>2</v>
      </c>
      <c r="C17" s="37">
        <v>1</v>
      </c>
      <c r="D17" s="6"/>
      <c r="E17" s="30">
        <f t="shared" si="4"/>
        <v>0</v>
      </c>
      <c r="F17" s="30">
        <f t="shared" si="0"/>
        <v>0</v>
      </c>
      <c r="G17" s="30">
        <f t="shared" si="0"/>
        <v>0</v>
      </c>
      <c r="H17" s="30">
        <f t="shared" si="0"/>
        <v>0</v>
      </c>
      <c r="I17" s="30">
        <f t="shared" si="0"/>
        <v>0</v>
      </c>
      <c r="J17" s="30">
        <f t="shared" si="0"/>
        <v>0</v>
      </c>
      <c r="K17" s="30">
        <f t="shared" si="0"/>
        <v>1</v>
      </c>
      <c r="L17" s="30">
        <f t="shared" si="0"/>
        <v>0</v>
      </c>
      <c r="M17" s="30">
        <f t="shared" si="0"/>
        <v>0</v>
      </c>
      <c r="N17" s="99">
        <v>7</v>
      </c>
      <c r="O17" s="100">
        <f t="shared" si="5"/>
        <v>0</v>
      </c>
      <c r="P17" s="49">
        <v>7</v>
      </c>
      <c r="Q17" s="101">
        <f t="shared" si="1"/>
        <v>1.4258661608181945E-3</v>
      </c>
      <c r="R17" s="10" t="str">
        <f t="shared" si="6"/>
        <v>2 + PB</v>
      </c>
      <c r="S17" s="17">
        <f t="shared" si="2"/>
        <v>701.32809619815737</v>
      </c>
      <c r="T17" s="55">
        <f t="shared" si="3"/>
        <v>3.3270210419091202E-3</v>
      </c>
      <c r="U17" s="45">
        <f t="shared" si="7"/>
        <v>7</v>
      </c>
      <c r="V17" s="98">
        <f t="shared" si="8"/>
        <v>5.0896491245569564</v>
      </c>
      <c r="W17" s="98">
        <f t="shared" si="9"/>
        <v>3.0571570890690611E-2</v>
      </c>
    </row>
    <row r="18" spans="2:24" ht="15" customHeight="1" x14ac:dyDescent="0.25">
      <c r="B18" s="37">
        <v>1</v>
      </c>
      <c r="C18" s="37">
        <v>1</v>
      </c>
      <c r="D18" s="6"/>
      <c r="E18" s="30">
        <f t="shared" si="4"/>
        <v>0</v>
      </c>
      <c r="F18" s="30">
        <f t="shared" si="0"/>
        <v>0</v>
      </c>
      <c r="G18" s="30">
        <f t="shared" si="0"/>
        <v>0</v>
      </c>
      <c r="H18" s="30">
        <f t="shared" si="0"/>
        <v>0</v>
      </c>
      <c r="I18" s="30">
        <f t="shared" si="0"/>
        <v>0</v>
      </c>
      <c r="J18" s="30">
        <f t="shared" si="0"/>
        <v>0</v>
      </c>
      <c r="K18" s="30">
        <f t="shared" si="0"/>
        <v>0</v>
      </c>
      <c r="L18" s="30">
        <f t="shared" si="0"/>
        <v>1</v>
      </c>
      <c r="M18" s="30">
        <f t="shared" si="0"/>
        <v>0</v>
      </c>
      <c r="N18" s="99">
        <v>4</v>
      </c>
      <c r="O18" s="100">
        <f t="shared" si="5"/>
        <v>0</v>
      </c>
      <c r="P18" s="49">
        <v>4</v>
      </c>
      <c r="Q18" s="101">
        <f t="shared" si="1"/>
        <v>1.0872229476238735E-2</v>
      </c>
      <c r="R18" s="11" t="str">
        <f t="shared" si="6"/>
        <v>1 + PB</v>
      </c>
      <c r="S18" s="18">
        <f t="shared" si="2"/>
        <v>91.977455239102582</v>
      </c>
      <c r="T18" s="56">
        <f t="shared" si="3"/>
        <v>1.4496305968318314E-2</v>
      </c>
      <c r="U18" s="29">
        <f t="shared" si="7"/>
        <v>4</v>
      </c>
      <c r="V18" s="98">
        <f t="shared" si="8"/>
        <v>1.1681161925212684</v>
      </c>
      <c r="W18" s="98">
        <f t="shared" si="9"/>
        <v>0.14496306497348879</v>
      </c>
    </row>
    <row r="19" spans="2:24" ht="15" customHeight="1" x14ac:dyDescent="0.25">
      <c r="B19" s="37">
        <v>0</v>
      </c>
      <c r="C19" s="37">
        <v>1</v>
      </c>
      <c r="D19" s="6"/>
      <c r="E19" s="30">
        <f t="shared" si="4"/>
        <v>0</v>
      </c>
      <c r="F19" s="30">
        <f t="shared" si="0"/>
        <v>0</v>
      </c>
      <c r="G19" s="30">
        <f t="shared" si="0"/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  <c r="K19" s="30">
        <f t="shared" si="0"/>
        <v>0</v>
      </c>
      <c r="L19" s="30">
        <f t="shared" si="0"/>
        <v>0</v>
      </c>
      <c r="M19" s="30">
        <f t="shared" si="0"/>
        <v>1</v>
      </c>
      <c r="N19" s="99">
        <v>4</v>
      </c>
      <c r="O19" s="100">
        <f t="shared" si="5"/>
        <v>0</v>
      </c>
      <c r="P19" s="49">
        <v>4</v>
      </c>
      <c r="Q19" s="101">
        <f t="shared" si="1"/>
        <v>2.6093350742972952E-2</v>
      </c>
      <c r="R19" s="46" t="str">
        <f t="shared" si="6"/>
        <v>0 + PB</v>
      </c>
      <c r="S19" s="47">
        <f t="shared" si="2"/>
        <v>38.323939682959427</v>
      </c>
      <c r="T19" s="57">
        <f t="shared" si="3"/>
        <v>3.4791134323963933E-2</v>
      </c>
      <c r="U19" s="48">
        <f t="shared" si="7"/>
        <v>4</v>
      </c>
      <c r="V19" s="98">
        <f t="shared" si="8"/>
        <v>2.0545901301306557</v>
      </c>
      <c r="W19" s="98">
        <f t="shared" si="9"/>
        <v>0.34791135593637296</v>
      </c>
    </row>
    <row r="20" spans="2:24" ht="15" customHeight="1" x14ac:dyDescent="0.25">
      <c r="R20" s="12" t="s">
        <v>8</v>
      </c>
      <c r="S20" s="19">
        <f>IFERROR(1/SUM(Q11:Q19),"")</f>
        <v>24.867060384809644</v>
      </c>
      <c r="T20" s="58">
        <f>IF(SUM(T11:T19)=0,"",SUM(T11:T19))</f>
        <v>0.15240032760001795</v>
      </c>
      <c r="U20" s="20">
        <f>IFERROR(U9*T20,"")</f>
        <v>0.45720098280005383</v>
      </c>
      <c r="W20" s="98"/>
    </row>
    <row r="21" spans="2:24" ht="15" customHeight="1" x14ac:dyDescent="0.25">
      <c r="R21" s="13"/>
      <c r="S21" s="13"/>
      <c r="T21" s="101">
        <f>IFERROR(AVERAGE(T11:T19),"")</f>
        <v>1.6933369733335327E-2</v>
      </c>
      <c r="U21" s="13"/>
      <c r="V21" s="98">
        <f>IFERROR(AVERAGE(V11:V19),"")</f>
        <v>4.970131967715874</v>
      </c>
      <c r="W21" s="98">
        <f>IF(SUM(W11:W19)=0,"",SUM(W11:W19))</f>
        <v>0.62985876567110721</v>
      </c>
    </row>
    <row r="22" spans="2:24" ht="15" customHeight="1" x14ac:dyDescent="0.25"/>
    <row r="23" spans="2:24" ht="15" customHeight="1" x14ac:dyDescent="0.25">
      <c r="B23" s="39" t="s">
        <v>36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2:24" ht="15" customHeight="1" x14ac:dyDescent="0.25">
      <c r="B24" s="39" t="s">
        <v>35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2:24" ht="15" customHeight="1" thickBot="1" x14ac:dyDescent="0.3"/>
    <row r="26" spans="2:24" ht="15" customHeight="1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2:24" ht="15" customHeight="1" x14ac:dyDescent="0.25">
      <c r="B27" s="74" t="s">
        <v>11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</row>
    <row r="28" spans="2:24" ht="7.5" customHeight="1" x14ac:dyDescent="0.25">
      <c r="B28"/>
      <c r="C28"/>
      <c r="D28"/>
      <c r="E28"/>
      <c r="F28"/>
      <c r="G28"/>
      <c r="H28"/>
      <c r="I28"/>
    </row>
    <row r="29" spans="2:24" ht="15" customHeight="1" x14ac:dyDescent="0.25">
      <c r="B29" s="75" t="s">
        <v>12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</row>
  </sheetData>
  <sheetProtection algorithmName="SHA-512" hashValue="RXp60heFtA1fJ9vd+FpHoHdqBA0Zx7CFARvZ/X9qBST+z9/B/cupbkWxLQAB29CcLxAaFuFHKAVd4Vasc4eXVA==" saltValue="GzoG8cbBzpxT20RGEZ93cA==" spinCount="100000" sheet="1" objects="1" scenarios="1" selectLockedCells="1"/>
  <mergeCells count="18">
    <mergeCell ref="R3:T3"/>
    <mergeCell ref="B2:H2"/>
    <mergeCell ref="I2:J2"/>
    <mergeCell ref="B3:H3"/>
    <mergeCell ref="I3:J3"/>
    <mergeCell ref="R2:T2"/>
    <mergeCell ref="B27:X27"/>
    <mergeCell ref="B29:X29"/>
    <mergeCell ref="B5:H5"/>
    <mergeCell ref="I5:J5"/>
    <mergeCell ref="R4:T4"/>
    <mergeCell ref="B8:C9"/>
    <mergeCell ref="R8:S8"/>
    <mergeCell ref="P9:P10"/>
    <mergeCell ref="R9:S9"/>
    <mergeCell ref="R5:T5"/>
    <mergeCell ref="B4:H4"/>
    <mergeCell ref="I4:J4"/>
  </mergeCells>
  <conditionalFormatting sqref="E11:M19">
    <cfRule type="expression" dxfId="95" priority="12">
      <formula>IF(AND(E11&gt;0,E11&lt;1000000000),TRUE,FALSE)</formula>
    </cfRule>
    <cfRule type="expression" dxfId="94" priority="14">
      <formula>IF(E11&gt;=1000000,TRUE,FALSE)</formula>
    </cfRule>
  </conditionalFormatting>
  <conditionalFormatting sqref="T20">
    <cfRule type="cellIs" dxfId="93" priority="15" stopIfTrue="1" operator="greaterThanOrEqual">
      <formula>0.6</formula>
    </cfRule>
    <cfRule type="cellIs" dxfId="92" priority="16" stopIfTrue="1" operator="greaterThanOrEqual">
      <formula>0.4</formula>
    </cfRule>
    <cfRule type="cellIs" dxfId="91" priority="17" stopIfTrue="1" operator="lessThan">
      <formula>0.4</formula>
    </cfRule>
  </conditionalFormatting>
  <conditionalFormatting sqref="E11:M19">
    <cfRule type="expression" dxfId="90" priority="13">
      <formula>IF(E11=0,TRUE,FALSE)</formula>
    </cfRule>
  </conditionalFormatting>
  <conditionalFormatting sqref="I4">
    <cfRule type="expression" dxfId="89" priority="11">
      <formula>IF(I4="",FALSE,IF(OR(I4&lt;1,I4&gt;1000000),TRUE,FALSE))</formula>
    </cfRule>
  </conditionalFormatting>
  <conditionalFormatting sqref="I5">
    <cfRule type="expression" dxfId="88" priority="10">
      <formula>IF(I5="",FALSE,IF(OR(I5&lt;0.01,I5&gt;100),TRUE,FALSE))</formula>
    </cfRule>
  </conditionalFormatting>
  <conditionalFormatting sqref="I2">
    <cfRule type="expression" dxfId="87" priority="9">
      <formula>IF(I2="",FALSE,IF(OR(I2&lt;M2,I2&gt;L2),TRUE,FALSE))</formula>
    </cfRule>
  </conditionalFormatting>
  <conditionalFormatting sqref="U9">
    <cfRule type="expression" dxfId="86" priority="5">
      <formula>IF(U9&gt;=99999999.5,TRUE,FALSE)</formula>
    </cfRule>
    <cfRule type="expression" dxfId="85" priority="6">
      <formula>IF(U9&gt;=99999.95,TRUE,FALSE)</formula>
    </cfRule>
    <cfRule type="expression" dxfId="84" priority="7">
      <formula>IF(U9&gt;=9999.995,TRUE,FALSE)</formula>
    </cfRule>
  </conditionalFormatting>
  <conditionalFormatting sqref="I3">
    <cfRule type="expression" dxfId="83" priority="4">
      <formula>IF(I3="",FALSE,IF(OR(I3&lt;M3,I3&gt;L3),TRUE,FALSE))</formula>
    </cfRule>
  </conditionalFormatting>
  <conditionalFormatting sqref="T11:T20">
    <cfRule type="expression" dxfId="82" priority="2">
      <formula>IF(T11&gt;=100,TRUE,FALSE)</formula>
    </cfRule>
    <cfRule type="expression" dxfId="81" priority="3">
      <formula>IF(T11&gt;=10,TRUE,FALSE)</formula>
    </cfRule>
  </conditionalFormatting>
  <conditionalFormatting sqref="P11:P19">
    <cfRule type="expression" dxfId="80" priority="1">
      <formula>IF(P11="",FALSE,IF(OR(P11&lt;N11/100,P11&gt;N11*100),TRUE,FALSE))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9"/>
  <sheetViews>
    <sheetView showGridLines="0" zoomScaleNormal="100" workbookViewId="0">
      <selection activeCell="I2" sqref="I2:J2"/>
    </sheetView>
  </sheetViews>
  <sheetFormatPr baseColWidth="10" defaultRowHeight="14.25" x14ac:dyDescent="0.25"/>
  <cols>
    <col min="1" max="1" width="2.85546875" style="1" customWidth="1"/>
    <col min="2" max="3" width="6.28515625" style="1" customWidth="1"/>
    <col min="4" max="4" width="4.28515625" style="1" customWidth="1"/>
    <col min="5" max="13" width="6.28515625" style="1" customWidth="1"/>
    <col min="14" max="15" width="2.140625" style="1" customWidth="1"/>
    <col min="16" max="16" width="17" style="1" customWidth="1"/>
    <col min="17" max="17" width="4.28515625" style="1" customWidth="1"/>
    <col min="18" max="18" width="8.85546875" style="1" customWidth="1"/>
    <col min="19" max="19" width="14.28515625" style="1" customWidth="1"/>
    <col min="20" max="20" width="8.28515625" style="1" customWidth="1"/>
    <col min="21" max="21" width="14.85546875" style="1" customWidth="1"/>
    <col min="22" max="24" width="6.28515625" style="1" customWidth="1"/>
    <col min="25" max="16384" width="11.42578125" style="1"/>
  </cols>
  <sheetData>
    <row r="1" spans="2:23" ht="15" customHeight="1" x14ac:dyDescent="0.25"/>
    <row r="2" spans="2:23" ht="15" customHeight="1" x14ac:dyDescent="0.25">
      <c r="B2" s="83" t="str">
        <f>CONCATENATE("Anzahl Normalzahlen (",K2,") im Vollsystem:")</f>
        <v>Anzahl Normalzahlen (NZ) im Vollsystem:</v>
      </c>
      <c r="C2" s="84"/>
      <c r="D2" s="84"/>
      <c r="E2" s="84"/>
      <c r="F2" s="84"/>
      <c r="G2" s="84"/>
      <c r="H2" s="85"/>
      <c r="I2" s="92">
        <v>5</v>
      </c>
      <c r="J2" s="93"/>
      <c r="K2" s="96" t="s">
        <v>0</v>
      </c>
      <c r="L2" s="96">
        <v>70</v>
      </c>
      <c r="M2" s="96">
        <v>5</v>
      </c>
      <c r="N2" s="97" t="s">
        <v>20</v>
      </c>
      <c r="O2" s="97"/>
      <c r="R2" s="89" t="s">
        <v>13</v>
      </c>
      <c r="S2" s="90"/>
      <c r="T2" s="91"/>
      <c r="U2" s="51">
        <f>IFERROR(W21,"")</f>
        <v>0.50144935333514851</v>
      </c>
    </row>
    <row r="3" spans="2:23" ht="15" customHeight="1" x14ac:dyDescent="0.25">
      <c r="B3" s="83" t="str">
        <f>CONCATENATE("Anzahl ",N3," (",K3,") im Vollsystem:")</f>
        <v>Anzahl MegaBalls (MB) im Vollsystem:</v>
      </c>
      <c r="C3" s="84"/>
      <c r="D3" s="84"/>
      <c r="E3" s="84"/>
      <c r="F3" s="84"/>
      <c r="G3" s="84"/>
      <c r="H3" s="85"/>
      <c r="I3" s="92">
        <v>1</v>
      </c>
      <c r="J3" s="93"/>
      <c r="K3" s="96" t="s">
        <v>21</v>
      </c>
      <c r="L3" s="96">
        <v>25</v>
      </c>
      <c r="M3" s="96">
        <v>1</v>
      </c>
      <c r="N3" s="97" t="s">
        <v>22</v>
      </c>
      <c r="O3" s="97"/>
      <c r="R3" s="89" t="s">
        <v>10</v>
      </c>
      <c r="S3" s="90"/>
      <c r="T3" s="91"/>
      <c r="U3" s="35">
        <f>IFERROR(V21,"")</f>
        <v>2.9917309769507252</v>
      </c>
    </row>
    <row r="4" spans="2:23" ht="15" customHeight="1" x14ac:dyDescent="0.25">
      <c r="B4" s="86" t="s">
        <v>14</v>
      </c>
      <c r="C4" s="87"/>
      <c r="D4" s="87"/>
      <c r="E4" s="87"/>
      <c r="F4" s="87"/>
      <c r="G4" s="87"/>
      <c r="H4" s="88"/>
      <c r="I4" s="92">
        <v>1</v>
      </c>
      <c r="J4" s="93"/>
      <c r="R4" s="89" t="s">
        <v>9</v>
      </c>
      <c r="S4" s="90"/>
      <c r="T4" s="91"/>
      <c r="U4" s="36">
        <f>IFERROR(1/S20,"")</f>
        <v>4.1675694996304226E-2</v>
      </c>
    </row>
    <row r="5" spans="2:23" ht="15" customHeight="1" x14ac:dyDescent="0.25">
      <c r="B5" s="89" t="s">
        <v>15</v>
      </c>
      <c r="C5" s="90"/>
      <c r="D5" s="90"/>
      <c r="E5" s="90"/>
      <c r="F5" s="90"/>
      <c r="G5" s="90"/>
      <c r="H5" s="91"/>
      <c r="I5" s="94">
        <v>3</v>
      </c>
      <c r="J5" s="95"/>
      <c r="K5" s="34"/>
      <c r="L5" s="34"/>
      <c r="M5" s="34"/>
      <c r="N5" s="34"/>
      <c r="O5" s="34"/>
      <c r="P5" s="34"/>
      <c r="R5" s="89" t="s">
        <v>34</v>
      </c>
      <c r="S5" s="90"/>
      <c r="T5" s="91"/>
      <c r="U5" s="36">
        <f>IFERROR(IF(U8="","",SUMIF(U11:U19,"&gt;"&amp;U9,Q11:Q19)),"")</f>
        <v>1.4377079957108203E-2</v>
      </c>
    </row>
    <row r="6" spans="2:23" ht="15" customHeight="1" x14ac:dyDescent="0.25"/>
    <row r="7" spans="2:23" ht="15" customHeight="1" x14ac:dyDescent="0.25"/>
    <row r="8" spans="2:23" ht="15" customHeight="1" x14ac:dyDescent="0.25">
      <c r="B8" s="80" t="s">
        <v>1</v>
      </c>
      <c r="C8" s="80"/>
      <c r="D8" s="2" t="str">
        <f>K2</f>
        <v>NZ</v>
      </c>
      <c r="E8" s="37">
        <v>5</v>
      </c>
      <c r="F8" s="37">
        <v>5</v>
      </c>
      <c r="G8" s="37">
        <v>4</v>
      </c>
      <c r="H8" s="37">
        <v>4</v>
      </c>
      <c r="I8" s="37">
        <v>3</v>
      </c>
      <c r="J8" s="37">
        <v>3</v>
      </c>
      <c r="K8" s="37">
        <v>2</v>
      </c>
      <c r="L8" s="37">
        <v>1</v>
      </c>
      <c r="M8" s="37">
        <v>0</v>
      </c>
      <c r="P8" s="41" t="str">
        <f>$N$2</f>
        <v>MegaMillions</v>
      </c>
      <c r="R8" s="76" t="str">
        <f>IFERROR(IF(OR($I$2&gt;$L$2,$I$2&lt;$M$2,$I$3&gt;$L$3,$I$3&lt;$M$3),$N$2,CONCATENATE($N$2," (",$I$2,"/",$I$3,")")),"")</f>
        <v>MegaMillions (5/1)</v>
      </c>
      <c r="S8" s="77"/>
      <c r="T8" s="32">
        <f>IFERROR(IF(OR($I$4&lt;1,$I$4&gt;1000000),"",$I$4),"")</f>
        <v>1</v>
      </c>
      <c r="U8" s="24">
        <f>IFERROR(IF(OR($I$2&gt;$L$2,$I$2&lt;$M$2,$I$3&gt;$L$3,$I$3&lt;$M$3),"",COMBIN($I$2,$M$2)*COMBIN($I$3,$M$3)),"")</f>
        <v>1</v>
      </c>
      <c r="V8" s="98"/>
      <c r="W8" s="98"/>
    </row>
    <row r="9" spans="2:23" ht="15" customHeight="1" x14ac:dyDescent="0.25">
      <c r="B9" s="80"/>
      <c r="C9" s="80"/>
      <c r="D9" s="2" t="str">
        <f>K3</f>
        <v>MB</v>
      </c>
      <c r="E9" s="37">
        <v>1</v>
      </c>
      <c r="F9" s="37">
        <v>0</v>
      </c>
      <c r="G9" s="37">
        <v>1</v>
      </c>
      <c r="H9" s="37">
        <v>0</v>
      </c>
      <c r="I9" s="37">
        <v>1</v>
      </c>
      <c r="J9" s="37">
        <v>0</v>
      </c>
      <c r="K9" s="37">
        <v>1</v>
      </c>
      <c r="L9" s="37">
        <v>1</v>
      </c>
      <c r="M9" s="37">
        <v>1</v>
      </c>
      <c r="P9" s="81" t="s">
        <v>17</v>
      </c>
      <c r="R9" s="78" t="str">
        <f>CONCATENATE($M$2," aus ",$L$2," + ",$M$3," aus ",$L$3)</f>
        <v>5 aus 70 + 1 aus 25</v>
      </c>
      <c r="S9" s="79"/>
      <c r="T9" s="33" t="str">
        <f>IF(T8=1,"Anteil","Anteile")</f>
        <v>Anteil</v>
      </c>
      <c r="U9" s="40">
        <f>IFERROR(IF(OR($I$5&lt;0.01,$I$5&gt;100),"",U8*$I$5/T8),"")</f>
        <v>3</v>
      </c>
      <c r="V9" s="98"/>
      <c r="W9" s="98"/>
    </row>
    <row r="10" spans="2:23" ht="15" customHeight="1" x14ac:dyDescent="0.25">
      <c r="B10" s="3" t="str">
        <f>K2</f>
        <v>NZ</v>
      </c>
      <c r="C10" s="3" t="str">
        <f>K3</f>
        <v>MB</v>
      </c>
      <c r="D10" s="4"/>
      <c r="E10" s="5"/>
      <c r="F10" s="5"/>
      <c r="G10" s="5"/>
      <c r="H10" s="5"/>
      <c r="I10" s="5"/>
      <c r="J10" s="5"/>
      <c r="K10" s="5"/>
      <c r="L10" s="5"/>
      <c r="M10" s="5"/>
      <c r="P10" s="82"/>
      <c r="R10" s="21" t="s">
        <v>4</v>
      </c>
      <c r="S10" s="21" t="s">
        <v>5</v>
      </c>
      <c r="T10" s="21" t="s">
        <v>6</v>
      </c>
      <c r="U10" s="21" t="s">
        <v>7</v>
      </c>
      <c r="V10" s="98"/>
      <c r="W10" s="98"/>
    </row>
    <row r="11" spans="2:23" ht="15" customHeight="1" x14ac:dyDescent="0.25">
      <c r="B11" s="37">
        <v>5</v>
      </c>
      <c r="C11" s="37">
        <v>1</v>
      </c>
      <c r="D11" s="6"/>
      <c r="E11" s="30">
        <f>IFERROR(IF(OR($I$2&gt;$L$2-$M$2+$B11,$I$3&gt;$L$3-$M$3+$C11),0,COMBIN($I$2-$B11,$M$2-E$8)*COMBIN($B11,E$8)*COMBIN($I$3-$C11,$M$3-E$9)*COMBIN($C11,E$9)),0)</f>
        <v>1</v>
      </c>
      <c r="F11" s="30">
        <f t="shared" ref="F11:M19" si="0">IFERROR(IF(OR($I$2&gt;$L$2-$M$2+$B11,$I$3&gt;$L$3-$M$3+$C11),0,COMBIN($I$2-$B11,$M$2-F$8)*COMBIN($B11,F$8)*COMBIN($I$3-$C11,$M$3-F$9)*COMBIN($C11,F$9)),0)</f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99">
        <v>58036227.272727266</v>
      </c>
      <c r="O11" s="100">
        <f>IF(OR(P11&lt;N11/100,P11&gt;N11*100),1,0)</f>
        <v>0</v>
      </c>
      <c r="P11" s="49">
        <f>171612500*0.6*0.62/1.1</f>
        <v>58036227.272727266</v>
      </c>
      <c r="Q11" s="101">
        <f t="shared" ref="Q11:Q19" si="1">IFERROR(IF(U11=0,0,1/S11),"")</f>
        <v>3.3049618880057454E-9</v>
      </c>
      <c r="R11" s="7" t="str">
        <f>CONCATENATE($B11,IF($C11=1,CONCATENATE(" + ",$C$10),""))</f>
        <v>5 + MB</v>
      </c>
      <c r="S11" s="14">
        <f>IFERROR(IF(OR(U$8="",SUM(O$11:O$31)&gt;0),"",1/(HYPGEOMDIST($B11,$I$2,$M$2,$L$2)*HYPGEOMDIST($C11,$I$3,$M$3,$L$3))),"")</f>
        <v>302575350.00000024</v>
      </c>
      <c r="T11" s="52">
        <f t="shared" ref="T11:T19" si="2">IFERROR(U11/S11/U$9,"")</f>
        <v>6.3935839753334403E-2</v>
      </c>
      <c r="U11" s="25">
        <f>IFERROR(IF(OR(U$8="",S11="",SUM(O$11:O$31)&gt;0),"",(P$11*$E11+P$12*$F11+P$13*$G11+P$14*$H11+P$15*$I11+P$16*$J11+P$17*$K11+P$18*$L11+P$19*$M11)/T$8),"")</f>
        <v>58036227.272727266</v>
      </c>
      <c r="V11" s="98">
        <f>IFERROR(IF(T11&lt;T$21,T$21/T11,T11/T$21),"")</f>
        <v>4.2669581812370607</v>
      </c>
      <c r="W11" s="98">
        <f>IFERROR(T11/IF((S11*U$9)&lt;1500,1500,S11*U$9)^0.25*62.2333,"")</f>
        <v>2.2923372125628935E-2</v>
      </c>
    </row>
    <row r="12" spans="2:23" ht="15" customHeight="1" x14ac:dyDescent="0.25">
      <c r="B12" s="37">
        <v>5</v>
      </c>
      <c r="C12" s="37">
        <v>0</v>
      </c>
      <c r="D12" s="6"/>
      <c r="E12" s="30">
        <f t="shared" ref="E12:E19" si="3">IFERROR(IF(OR($I$2&gt;$L$2-$M$2+$B12,$I$3&gt;$L$3-$M$3+$C12),0,COMBIN($I$2-$B12,$M$2-E$8)*COMBIN($B12,E$8)*COMBIN($I$3-$C12,$M$3-E$9)*COMBIN($C12,E$9)),0)</f>
        <v>0</v>
      </c>
      <c r="F12" s="30">
        <f t="shared" si="0"/>
        <v>1</v>
      </c>
      <c r="G12" s="30">
        <f t="shared" si="0"/>
        <v>0</v>
      </c>
      <c r="H12" s="30">
        <f t="shared" si="0"/>
        <v>0</v>
      </c>
      <c r="I12" s="30">
        <f t="shared" si="0"/>
        <v>0</v>
      </c>
      <c r="J12" s="30">
        <f t="shared" si="0"/>
        <v>0</v>
      </c>
      <c r="K12" s="30">
        <f t="shared" si="0"/>
        <v>0</v>
      </c>
      <c r="L12" s="30">
        <f t="shared" si="0"/>
        <v>0</v>
      </c>
      <c r="M12" s="30">
        <f t="shared" si="0"/>
        <v>0</v>
      </c>
      <c r="N12" s="99">
        <v>620000</v>
      </c>
      <c r="O12" s="100">
        <f t="shared" ref="O12:O19" si="4">IF(OR(P12&lt;N12/100,P12&gt;N12*100),1,0)</f>
        <v>0</v>
      </c>
      <c r="P12" s="49">
        <f>1000000*0.62</f>
        <v>620000</v>
      </c>
      <c r="Q12" s="101">
        <f t="shared" si="1"/>
        <v>7.9319085312137862E-8</v>
      </c>
      <c r="R12" s="7" t="str">
        <f t="shared" ref="R12:R19" si="5">CONCATENATE($B12,IF($C12=1,CONCATENATE(" + ",$C$10),""))</f>
        <v>5</v>
      </c>
      <c r="S12" s="14">
        <f t="shared" ref="S12:S19" si="6">IFERROR(IF(OR(U$8="",SUM(O$11:O$31)&gt;0),"",1/(HYPGEOMDIST(B12,$I$2,$M$2,$L$2)*HYPGEOMDIST(C12,$I$3,$M$3,$L$3))),"")</f>
        <v>12607306.250000015</v>
      </c>
      <c r="T12" s="52">
        <f t="shared" si="2"/>
        <v>1.6392610964508492E-2</v>
      </c>
      <c r="U12" s="42">
        <f t="shared" ref="U12:U19" si="7">IFERROR(IF(OR(U$8="",S12="",SUM(O$11:O$31)&gt;0),"",(P$11*$E12+P$12*$F12+P$13*$G12+P$14*$H12+P$15*$I12+P$16*$J12+P$17*$K12+P$18*$L12+P$19*$M12)/T$8),"")</f>
        <v>620000</v>
      </c>
      <c r="V12" s="98">
        <f t="shared" ref="V12:V19" si="8">IFERROR(IF(T12&lt;T$21,T$21/T12,T12/T$21),"")</f>
        <v>1.0940121493156423</v>
      </c>
      <c r="W12" s="98">
        <f t="shared" ref="W12:W19" si="9">IFERROR(T12/IF((S12*U$9)&lt;1500,1500,S12*U$9)^0.25*62.2333,"")</f>
        <v>1.3008735199123817E-2</v>
      </c>
    </row>
    <row r="13" spans="2:23" ht="15" customHeight="1" x14ac:dyDescent="0.25">
      <c r="B13" s="37">
        <v>4</v>
      </c>
      <c r="C13" s="37">
        <v>1</v>
      </c>
      <c r="D13" s="6"/>
      <c r="E13" s="30">
        <f t="shared" si="3"/>
        <v>0</v>
      </c>
      <c r="F13" s="30">
        <f t="shared" si="0"/>
        <v>0</v>
      </c>
      <c r="G13" s="30">
        <f t="shared" si="0"/>
        <v>1</v>
      </c>
      <c r="H13" s="30">
        <f t="shared" si="0"/>
        <v>0</v>
      </c>
      <c r="I13" s="30">
        <f t="shared" si="0"/>
        <v>0</v>
      </c>
      <c r="J13" s="30">
        <f t="shared" si="0"/>
        <v>0</v>
      </c>
      <c r="K13" s="30">
        <f t="shared" si="0"/>
        <v>0</v>
      </c>
      <c r="L13" s="30">
        <f t="shared" si="0"/>
        <v>0</v>
      </c>
      <c r="M13" s="30">
        <f t="shared" si="0"/>
        <v>0</v>
      </c>
      <c r="N13" s="99">
        <v>6200</v>
      </c>
      <c r="O13" s="100">
        <f t="shared" si="4"/>
        <v>0</v>
      </c>
      <c r="P13" s="49">
        <f>10000*0.62</f>
        <v>6200</v>
      </c>
      <c r="Q13" s="101">
        <f t="shared" si="1"/>
        <v>1.0741126136018708E-6</v>
      </c>
      <c r="R13" s="8" t="str">
        <f t="shared" si="5"/>
        <v>4 + MB</v>
      </c>
      <c r="S13" s="15">
        <f t="shared" si="6"/>
        <v>931001.07692307455</v>
      </c>
      <c r="T13" s="53">
        <f t="shared" si="2"/>
        <v>2.2198327347771997E-3</v>
      </c>
      <c r="U13" s="43">
        <f t="shared" si="7"/>
        <v>6200</v>
      </c>
      <c r="V13" s="98">
        <f t="shared" si="8"/>
        <v>6.7500305085595196</v>
      </c>
      <c r="W13" s="98">
        <f t="shared" si="9"/>
        <v>3.3792881276626225E-3</v>
      </c>
    </row>
    <row r="14" spans="2:23" ht="15" customHeight="1" x14ac:dyDescent="0.25">
      <c r="B14" s="37">
        <v>4</v>
      </c>
      <c r="C14" s="37">
        <v>0</v>
      </c>
      <c r="D14" s="6"/>
      <c r="E14" s="30">
        <f t="shared" si="3"/>
        <v>0</v>
      </c>
      <c r="F14" s="30">
        <f t="shared" si="0"/>
        <v>0</v>
      </c>
      <c r="G14" s="30">
        <f t="shared" si="0"/>
        <v>0</v>
      </c>
      <c r="H14" s="30">
        <f t="shared" si="0"/>
        <v>1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0">
        <f t="shared" si="0"/>
        <v>0</v>
      </c>
      <c r="M14" s="30">
        <f t="shared" si="0"/>
        <v>0</v>
      </c>
      <c r="N14" s="99">
        <v>500</v>
      </c>
      <c r="O14" s="100">
        <f t="shared" si="4"/>
        <v>0</v>
      </c>
      <c r="P14" s="49">
        <v>500</v>
      </c>
      <c r="Q14" s="101">
        <f t="shared" si="1"/>
        <v>2.5778702726444898E-5</v>
      </c>
      <c r="R14" s="8" t="str">
        <f t="shared" si="5"/>
        <v>4</v>
      </c>
      <c r="S14" s="15">
        <f t="shared" si="6"/>
        <v>38791.711538461444</v>
      </c>
      <c r="T14" s="53">
        <f t="shared" si="2"/>
        <v>4.2964504544074833E-3</v>
      </c>
      <c r="U14" s="43">
        <f t="shared" si="7"/>
        <v>500</v>
      </c>
      <c r="V14" s="98">
        <f t="shared" si="8"/>
        <v>3.4875157627557516</v>
      </c>
      <c r="W14" s="98">
        <f t="shared" si="9"/>
        <v>1.4476633828421325E-2</v>
      </c>
    </row>
    <row r="15" spans="2:23" ht="15" customHeight="1" x14ac:dyDescent="0.25">
      <c r="B15" s="37">
        <v>3</v>
      </c>
      <c r="C15" s="37">
        <v>1</v>
      </c>
      <c r="D15" s="6"/>
      <c r="E15" s="30">
        <f t="shared" si="3"/>
        <v>0</v>
      </c>
      <c r="F15" s="30">
        <f t="shared" si="0"/>
        <v>0</v>
      </c>
      <c r="G15" s="30">
        <f t="shared" si="0"/>
        <v>0</v>
      </c>
      <c r="H15" s="30">
        <f t="shared" si="0"/>
        <v>0</v>
      </c>
      <c r="I15" s="30">
        <f t="shared" si="0"/>
        <v>1</v>
      </c>
      <c r="J15" s="30">
        <f t="shared" si="0"/>
        <v>0</v>
      </c>
      <c r="K15" s="30">
        <f t="shared" si="0"/>
        <v>0</v>
      </c>
      <c r="L15" s="30">
        <f t="shared" si="0"/>
        <v>0</v>
      </c>
      <c r="M15" s="30">
        <f t="shared" si="0"/>
        <v>0</v>
      </c>
      <c r="N15" s="99">
        <v>200</v>
      </c>
      <c r="O15" s="100">
        <f t="shared" si="4"/>
        <v>0</v>
      </c>
      <c r="P15" s="49">
        <v>200</v>
      </c>
      <c r="Q15" s="101">
        <f t="shared" si="1"/>
        <v>6.8743207270519625E-5</v>
      </c>
      <c r="R15" s="9" t="str">
        <f t="shared" si="5"/>
        <v>3 + MB</v>
      </c>
      <c r="S15" s="16">
        <f t="shared" si="6"/>
        <v>14546.891826923063</v>
      </c>
      <c r="T15" s="54">
        <f t="shared" si="2"/>
        <v>4.5828804847013078E-3</v>
      </c>
      <c r="U15" s="44">
        <f t="shared" si="7"/>
        <v>200</v>
      </c>
      <c r="V15" s="98">
        <f t="shared" si="8"/>
        <v>3.2695460275835226</v>
      </c>
      <c r="W15" s="98">
        <f t="shared" si="9"/>
        <v>1.9732790095718628E-2</v>
      </c>
    </row>
    <row r="16" spans="2:23" ht="15" customHeight="1" x14ac:dyDescent="0.25">
      <c r="B16" s="37">
        <v>3</v>
      </c>
      <c r="C16" s="37">
        <v>0</v>
      </c>
      <c r="D16" s="6"/>
      <c r="E16" s="30">
        <f t="shared" si="3"/>
        <v>0</v>
      </c>
      <c r="F16" s="30">
        <f t="shared" si="0"/>
        <v>0</v>
      </c>
      <c r="G16" s="30">
        <f t="shared" si="0"/>
        <v>0</v>
      </c>
      <c r="H16" s="30">
        <f t="shared" si="0"/>
        <v>0</v>
      </c>
      <c r="I16" s="30">
        <f t="shared" si="0"/>
        <v>0</v>
      </c>
      <c r="J16" s="30">
        <f t="shared" si="0"/>
        <v>1</v>
      </c>
      <c r="K16" s="30">
        <f t="shared" si="0"/>
        <v>0</v>
      </c>
      <c r="L16" s="30">
        <f t="shared" si="0"/>
        <v>0</v>
      </c>
      <c r="M16" s="30">
        <f t="shared" si="0"/>
        <v>0</v>
      </c>
      <c r="N16" s="99">
        <v>10</v>
      </c>
      <c r="O16" s="100">
        <f t="shared" si="4"/>
        <v>0</v>
      </c>
      <c r="P16" s="49">
        <v>10</v>
      </c>
      <c r="Q16" s="101">
        <f t="shared" si="1"/>
        <v>1.6498369744924702E-3</v>
      </c>
      <c r="R16" s="9" t="str">
        <f t="shared" si="5"/>
        <v>3</v>
      </c>
      <c r="S16" s="16">
        <f t="shared" si="6"/>
        <v>606.12049278846121</v>
      </c>
      <c r="T16" s="54">
        <f t="shared" si="2"/>
        <v>5.499456581641568E-3</v>
      </c>
      <c r="U16" s="44">
        <f t="shared" si="7"/>
        <v>10</v>
      </c>
      <c r="V16" s="98">
        <f t="shared" si="8"/>
        <v>2.7246216896529365</v>
      </c>
      <c r="W16" s="98">
        <f t="shared" si="9"/>
        <v>5.2411012858016096E-2</v>
      </c>
    </row>
    <row r="17" spans="2:24" ht="15" customHeight="1" x14ac:dyDescent="0.25">
      <c r="B17" s="37">
        <v>2</v>
      </c>
      <c r="C17" s="37">
        <v>1</v>
      </c>
      <c r="D17" s="6"/>
      <c r="E17" s="30">
        <f t="shared" si="3"/>
        <v>0</v>
      </c>
      <c r="F17" s="30">
        <f t="shared" si="0"/>
        <v>0</v>
      </c>
      <c r="G17" s="30">
        <f t="shared" si="0"/>
        <v>0</v>
      </c>
      <c r="H17" s="30">
        <f t="shared" si="0"/>
        <v>0</v>
      </c>
      <c r="I17" s="30">
        <f t="shared" si="0"/>
        <v>0</v>
      </c>
      <c r="J17" s="30">
        <f t="shared" si="0"/>
        <v>0</v>
      </c>
      <c r="K17" s="30">
        <f t="shared" si="0"/>
        <v>1</v>
      </c>
      <c r="L17" s="30">
        <f t="shared" si="0"/>
        <v>0</v>
      </c>
      <c r="M17" s="30">
        <f t="shared" si="0"/>
        <v>0</v>
      </c>
      <c r="N17" s="99">
        <v>10</v>
      </c>
      <c r="O17" s="100">
        <f t="shared" si="4"/>
        <v>0</v>
      </c>
      <c r="P17" s="49">
        <v>10</v>
      </c>
      <c r="Q17" s="101">
        <f t="shared" si="1"/>
        <v>1.4436073526809109E-3</v>
      </c>
      <c r="R17" s="10" t="str">
        <f t="shared" si="5"/>
        <v>2 + MB</v>
      </c>
      <c r="S17" s="17">
        <f t="shared" si="6"/>
        <v>692.70913461538453</v>
      </c>
      <c r="T17" s="55">
        <f t="shared" si="2"/>
        <v>4.8120245089363694E-3</v>
      </c>
      <c r="U17" s="45">
        <f t="shared" si="7"/>
        <v>10</v>
      </c>
      <c r="V17" s="98">
        <f t="shared" si="8"/>
        <v>3.1138533596033575</v>
      </c>
      <c r="W17" s="98">
        <f t="shared" si="9"/>
        <v>4.4353982310040181E-2</v>
      </c>
    </row>
    <row r="18" spans="2:24" ht="15" customHeight="1" x14ac:dyDescent="0.25">
      <c r="B18" s="37">
        <v>1</v>
      </c>
      <c r="C18" s="37">
        <v>1</v>
      </c>
      <c r="D18" s="6"/>
      <c r="E18" s="30">
        <f t="shared" si="3"/>
        <v>0</v>
      </c>
      <c r="F18" s="30">
        <f t="shared" si="0"/>
        <v>0</v>
      </c>
      <c r="G18" s="30">
        <f t="shared" si="0"/>
        <v>0</v>
      </c>
      <c r="H18" s="30">
        <f t="shared" si="0"/>
        <v>0</v>
      </c>
      <c r="I18" s="30">
        <f t="shared" si="0"/>
        <v>0</v>
      </c>
      <c r="J18" s="30">
        <f t="shared" si="0"/>
        <v>0</v>
      </c>
      <c r="K18" s="30">
        <f t="shared" si="0"/>
        <v>0</v>
      </c>
      <c r="L18" s="30">
        <f t="shared" si="0"/>
        <v>1</v>
      </c>
      <c r="M18" s="30">
        <f t="shared" si="0"/>
        <v>0</v>
      </c>
      <c r="N18" s="99">
        <v>4</v>
      </c>
      <c r="O18" s="100">
        <f t="shared" si="4"/>
        <v>0</v>
      </c>
      <c r="P18" s="49">
        <v>4</v>
      </c>
      <c r="Q18" s="101">
        <f t="shared" si="1"/>
        <v>1.1187956983277056E-2</v>
      </c>
      <c r="R18" s="11" t="str">
        <f t="shared" si="5"/>
        <v>1 + MB</v>
      </c>
      <c r="S18" s="18">
        <f t="shared" si="6"/>
        <v>89.381823821339964</v>
      </c>
      <c r="T18" s="56">
        <f t="shared" si="2"/>
        <v>1.4917275977702741E-2</v>
      </c>
      <c r="U18" s="29">
        <f t="shared" si="7"/>
        <v>4</v>
      </c>
      <c r="V18" s="98">
        <f t="shared" si="8"/>
        <v>1.0044688256785028</v>
      </c>
      <c r="W18" s="98">
        <f t="shared" si="9"/>
        <v>0.14917276522096257</v>
      </c>
    </row>
    <row r="19" spans="2:24" ht="15" customHeight="1" x14ac:dyDescent="0.25">
      <c r="B19" s="37">
        <v>0</v>
      </c>
      <c r="C19" s="37">
        <v>1</v>
      </c>
      <c r="D19" s="6"/>
      <c r="E19" s="30">
        <f t="shared" si="3"/>
        <v>0</v>
      </c>
      <c r="F19" s="30">
        <f t="shared" si="0"/>
        <v>0</v>
      </c>
      <c r="G19" s="30">
        <f t="shared" si="0"/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  <c r="K19" s="30">
        <f t="shared" si="0"/>
        <v>0</v>
      </c>
      <c r="L19" s="30">
        <f t="shared" si="0"/>
        <v>0</v>
      </c>
      <c r="M19" s="30">
        <f t="shared" si="0"/>
        <v>1</v>
      </c>
      <c r="N19" s="99">
        <v>2</v>
      </c>
      <c r="O19" s="100">
        <f t="shared" si="4"/>
        <v>0</v>
      </c>
      <c r="P19" s="49">
        <v>2</v>
      </c>
      <c r="Q19" s="101">
        <f t="shared" si="1"/>
        <v>2.7298615039196023E-2</v>
      </c>
      <c r="R19" s="46" t="str">
        <f t="shared" si="5"/>
        <v>0 + MB</v>
      </c>
      <c r="S19" s="47">
        <f t="shared" si="6"/>
        <v>36.631895008745879</v>
      </c>
      <c r="T19" s="57">
        <f t="shared" si="2"/>
        <v>1.8199076692797349E-2</v>
      </c>
      <c r="U19" s="48">
        <f t="shared" si="7"/>
        <v>2</v>
      </c>
      <c r="V19" s="98">
        <f t="shared" si="8"/>
        <v>1.2145722881702274</v>
      </c>
      <c r="W19" s="98">
        <f t="shared" si="9"/>
        <v>0.18199077356957435</v>
      </c>
    </row>
    <row r="20" spans="2:24" ht="15" customHeight="1" x14ac:dyDescent="0.25">
      <c r="R20" s="12" t="s">
        <v>8</v>
      </c>
      <c r="S20" s="19">
        <f>IFERROR(1/SUM(Q11:Q19),"")</f>
        <v>23.994800808689078</v>
      </c>
      <c r="T20" s="58">
        <f>IF(SUM(T11:T19)=0,"",SUM(T11:T19))</f>
        <v>0.13485544815280689</v>
      </c>
      <c r="U20" s="20">
        <f>IFERROR(U9*T20,"")</f>
        <v>0.40456634445842066</v>
      </c>
      <c r="W20" s="98"/>
    </row>
    <row r="21" spans="2:24" ht="15" customHeight="1" x14ac:dyDescent="0.25">
      <c r="R21" s="13"/>
      <c r="S21" s="13"/>
      <c r="T21" s="101">
        <f>IFERROR(AVERAGE(T11:T19),"")</f>
        <v>1.498393868364521E-2</v>
      </c>
      <c r="U21" s="13"/>
      <c r="V21" s="98">
        <f>IFERROR(AVERAGE(V11:V19),"")</f>
        <v>2.9917309769507252</v>
      </c>
      <c r="W21" s="98">
        <f>IF(SUM(W11:W19)=0,"",SUM(W11:W19))</f>
        <v>0.50144935333514851</v>
      </c>
    </row>
    <row r="22" spans="2:24" ht="15" customHeight="1" x14ac:dyDescent="0.25"/>
    <row r="23" spans="2:24" ht="15" customHeight="1" x14ac:dyDescent="0.25">
      <c r="B23" s="39" t="s">
        <v>36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2:24" ht="15" customHeight="1" x14ac:dyDescent="0.25">
      <c r="B24" s="39" t="s">
        <v>35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2:24" ht="15" customHeight="1" thickBot="1" x14ac:dyDescent="0.3"/>
    <row r="26" spans="2:24" ht="15" customHeight="1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2:24" ht="15" customHeight="1" x14ac:dyDescent="0.25">
      <c r="B27" s="74" t="s">
        <v>11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</row>
    <row r="28" spans="2:24" ht="7.5" customHeight="1" x14ac:dyDescent="0.25">
      <c r="B28"/>
      <c r="C28"/>
      <c r="D28"/>
      <c r="E28"/>
      <c r="F28"/>
      <c r="G28"/>
      <c r="H28"/>
      <c r="I28"/>
    </row>
    <row r="29" spans="2:24" ht="15" customHeight="1" x14ac:dyDescent="0.25">
      <c r="B29" s="75" t="s">
        <v>12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</row>
  </sheetData>
  <sheetProtection algorithmName="SHA-512" hashValue="TcqJY0M2rwpJqWNK8RCqkXO1R5CLB4Vk2XnRROIsA2f3syPOIEFGO/PQc08ZniHi1VJnGi9MfjgOqREzqBrxYg==" saltValue="LRgWoQI2r7wya7zgxx0m/Q==" spinCount="100000" sheet="1" objects="1" scenarios="1" selectLockedCells="1"/>
  <mergeCells count="18">
    <mergeCell ref="R3:T3"/>
    <mergeCell ref="B2:H2"/>
    <mergeCell ref="I2:J2"/>
    <mergeCell ref="B3:H3"/>
    <mergeCell ref="I3:J3"/>
    <mergeCell ref="R2:T2"/>
    <mergeCell ref="B27:X27"/>
    <mergeCell ref="B29:X29"/>
    <mergeCell ref="B5:H5"/>
    <mergeCell ref="I5:J5"/>
    <mergeCell ref="R4:T4"/>
    <mergeCell ref="B8:C9"/>
    <mergeCell ref="R8:S8"/>
    <mergeCell ref="P9:P10"/>
    <mergeCell ref="R9:S9"/>
    <mergeCell ref="R5:T5"/>
    <mergeCell ref="B4:H4"/>
    <mergeCell ref="I4:J4"/>
  </mergeCells>
  <conditionalFormatting sqref="E11:M19">
    <cfRule type="expression" dxfId="79" priority="13">
      <formula>IF(AND(E11&gt;0,E11&lt;1000000000),TRUE,FALSE)</formula>
    </cfRule>
    <cfRule type="expression" dxfId="78" priority="15">
      <formula>IF(E11&gt;=1000000,TRUE,FALSE)</formula>
    </cfRule>
  </conditionalFormatting>
  <conditionalFormatting sqref="T20">
    <cfRule type="cellIs" dxfId="77" priority="16" stopIfTrue="1" operator="greaterThanOrEqual">
      <formula>0.6</formula>
    </cfRule>
    <cfRule type="cellIs" dxfId="76" priority="17" stopIfTrue="1" operator="greaterThanOrEqual">
      <formula>0.4</formula>
    </cfRule>
    <cfRule type="cellIs" dxfId="75" priority="18" stopIfTrue="1" operator="lessThan">
      <formula>0.4</formula>
    </cfRule>
  </conditionalFormatting>
  <conditionalFormatting sqref="E11:M19">
    <cfRule type="expression" dxfId="74" priority="14">
      <formula>IF(E11=0,TRUE,FALSE)</formula>
    </cfRule>
  </conditionalFormatting>
  <conditionalFormatting sqref="I4">
    <cfRule type="expression" dxfId="73" priority="12">
      <formula>IF(I4="",FALSE,IF(OR(I4&lt;1,I4&gt;1000000),TRUE,FALSE))</formula>
    </cfRule>
  </conditionalFormatting>
  <conditionalFormatting sqref="I5">
    <cfRule type="expression" dxfId="72" priority="11">
      <formula>IF(I5="",FALSE,IF(OR(I5&lt;0.01,I5&gt;100),TRUE,FALSE))</formula>
    </cfRule>
  </conditionalFormatting>
  <conditionalFormatting sqref="I2">
    <cfRule type="expression" dxfId="71" priority="10">
      <formula>IF(I2="",FALSE,IF(OR(I2&lt;M2,I2&gt;L2),TRUE,FALSE))</formula>
    </cfRule>
  </conditionalFormatting>
  <conditionalFormatting sqref="U9">
    <cfRule type="expression" dxfId="70" priority="5">
      <formula>IF(U9&gt;=99999999.5,TRUE,FALSE)</formula>
    </cfRule>
    <cfRule type="expression" dxfId="69" priority="6">
      <formula>IF(U9&gt;=99999.95,TRUE,FALSE)</formula>
    </cfRule>
    <cfRule type="expression" dxfId="68" priority="7">
      <formula>IF(U9&gt;=9999.995,TRUE,FALSE)</formula>
    </cfRule>
  </conditionalFormatting>
  <conditionalFormatting sqref="I3">
    <cfRule type="expression" dxfId="67" priority="4">
      <formula>IF(I3="",FALSE,IF(OR(I3&lt;M3,I3&gt;L3),TRUE,FALSE))</formula>
    </cfRule>
  </conditionalFormatting>
  <conditionalFormatting sqref="T11:T20">
    <cfRule type="expression" dxfId="66" priority="2">
      <formula>IF(T11&gt;=100,TRUE,FALSE)</formula>
    </cfRule>
    <cfRule type="expression" dxfId="65" priority="3">
      <formula>IF(T11&gt;=10,TRUE,FALSE)</formula>
    </cfRule>
  </conditionalFormatting>
  <conditionalFormatting sqref="P11:P19">
    <cfRule type="expression" dxfId="64" priority="1">
      <formula>IF(P11="",FALSE,IF(OR(P11&lt;N11/100,P11&gt;N11*100),TRUE,FALSE))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showGridLines="0" workbookViewId="0">
      <selection activeCell="I2" sqref="I2:J2"/>
    </sheetView>
  </sheetViews>
  <sheetFormatPr baseColWidth="10" defaultRowHeight="14.25" x14ac:dyDescent="0.25"/>
  <cols>
    <col min="1" max="1" width="2.85546875" style="1" customWidth="1"/>
    <col min="2" max="3" width="6.28515625" style="1" customWidth="1"/>
    <col min="4" max="4" width="4.28515625" style="1" customWidth="1"/>
    <col min="5" max="16" width="6.28515625" style="1" customWidth="1"/>
    <col min="17" max="18" width="2.140625" style="1" customWidth="1"/>
    <col min="19" max="19" width="17" style="1" customWidth="1"/>
    <col min="20" max="20" width="4.28515625" style="1" customWidth="1"/>
    <col min="21" max="21" width="8.85546875" style="1" customWidth="1"/>
    <col min="22" max="22" width="14.28515625" style="1" customWidth="1"/>
    <col min="23" max="23" width="8.28515625" style="1" customWidth="1"/>
    <col min="24" max="24" width="14.85546875" style="1" customWidth="1"/>
    <col min="25" max="27" width="6.28515625" style="1" customWidth="1"/>
    <col min="28" max="16384" width="11.42578125" style="1"/>
  </cols>
  <sheetData>
    <row r="1" spans="2:26" ht="15" customHeight="1" x14ac:dyDescent="0.25"/>
    <row r="2" spans="2:26" ht="15" customHeight="1" x14ac:dyDescent="0.25">
      <c r="B2" s="83" t="str">
        <f>CONCATENATE("Anzahl Normalzahlen (",K2,") im Vollsystem:")</f>
        <v>Anzahl Normalzahlen (NZ) im Vollsystem:</v>
      </c>
      <c r="C2" s="84"/>
      <c r="D2" s="84"/>
      <c r="E2" s="84"/>
      <c r="F2" s="84"/>
      <c r="G2" s="84"/>
      <c r="H2" s="85"/>
      <c r="I2" s="92">
        <v>5</v>
      </c>
      <c r="J2" s="93"/>
      <c r="K2" s="96" t="s">
        <v>0</v>
      </c>
      <c r="L2" s="96">
        <v>50</v>
      </c>
      <c r="M2" s="96">
        <v>5</v>
      </c>
      <c r="N2" s="97" t="s">
        <v>18</v>
      </c>
      <c r="U2" s="89" t="s">
        <v>13</v>
      </c>
      <c r="V2" s="90"/>
      <c r="W2" s="91"/>
      <c r="X2" s="51">
        <f>IFERROR(Z24,"")</f>
        <v>2.1392255073031876</v>
      </c>
    </row>
    <row r="3" spans="2:26" ht="15" customHeight="1" x14ac:dyDescent="0.25">
      <c r="B3" s="83" t="str">
        <f>CONCATENATE("Anzahl ",N3," (",K3,") im Vollsystem:")</f>
        <v>Anzahl Eurozahlen (EZ) im Vollsystem:</v>
      </c>
      <c r="C3" s="84"/>
      <c r="D3" s="84"/>
      <c r="E3" s="84"/>
      <c r="F3" s="84"/>
      <c r="G3" s="84"/>
      <c r="H3" s="85"/>
      <c r="I3" s="92">
        <v>2</v>
      </c>
      <c r="J3" s="93"/>
      <c r="K3" s="96" t="s">
        <v>3</v>
      </c>
      <c r="L3" s="96">
        <v>12</v>
      </c>
      <c r="M3" s="96">
        <v>2</v>
      </c>
      <c r="N3" s="97" t="s">
        <v>24</v>
      </c>
      <c r="U3" s="89" t="s">
        <v>10</v>
      </c>
      <c r="V3" s="90"/>
      <c r="W3" s="91"/>
      <c r="X3" s="35">
        <f>IFERROR(Y24,"")</f>
        <v>4.6915304619181439</v>
      </c>
    </row>
    <row r="4" spans="2:26" ht="15" customHeight="1" x14ac:dyDescent="0.25">
      <c r="B4" s="86" t="s">
        <v>14</v>
      </c>
      <c r="C4" s="87"/>
      <c r="D4" s="87"/>
      <c r="E4" s="87"/>
      <c r="F4" s="87"/>
      <c r="G4" s="87"/>
      <c r="H4" s="88"/>
      <c r="I4" s="92">
        <v>1</v>
      </c>
      <c r="J4" s="93"/>
      <c r="U4" s="89" t="s">
        <v>9</v>
      </c>
      <c r="V4" s="90"/>
      <c r="W4" s="91"/>
      <c r="X4" s="36">
        <f>IFERROR(1/V23,"")</f>
        <v>3.1416252902641169E-2</v>
      </c>
    </row>
    <row r="5" spans="2:26" ht="15" customHeight="1" x14ac:dyDescent="0.25">
      <c r="B5" s="89" t="s">
        <v>15</v>
      </c>
      <c r="C5" s="90"/>
      <c r="D5" s="90"/>
      <c r="E5" s="90"/>
      <c r="F5" s="90"/>
      <c r="G5" s="90"/>
      <c r="H5" s="91"/>
      <c r="I5" s="94">
        <v>2</v>
      </c>
      <c r="J5" s="95"/>
      <c r="U5" s="89" t="s">
        <v>34</v>
      </c>
      <c r="V5" s="90"/>
      <c r="W5" s="91"/>
      <c r="X5" s="36">
        <f>IFERROR(IF(X8="","",SUMIF(X11:X22,"&gt;"&amp;X9,T11:T22)),"")</f>
        <v>3.1416252902641169E-2</v>
      </c>
    </row>
    <row r="6" spans="2:26" ht="15" customHeight="1" x14ac:dyDescent="0.25">
      <c r="S6" s="96"/>
    </row>
    <row r="7" spans="2:26" ht="15" customHeight="1" x14ac:dyDescent="0.25"/>
    <row r="8" spans="2:26" ht="15" customHeight="1" x14ac:dyDescent="0.25">
      <c r="B8" s="80" t="s">
        <v>1</v>
      </c>
      <c r="C8" s="80"/>
      <c r="D8" s="2" t="str">
        <f>K2</f>
        <v>NZ</v>
      </c>
      <c r="E8" s="37">
        <v>5</v>
      </c>
      <c r="F8" s="37">
        <v>5</v>
      </c>
      <c r="G8" s="37">
        <v>5</v>
      </c>
      <c r="H8" s="37">
        <v>4</v>
      </c>
      <c r="I8" s="37">
        <v>4</v>
      </c>
      <c r="J8" s="37">
        <v>4</v>
      </c>
      <c r="K8" s="37">
        <v>3</v>
      </c>
      <c r="L8" s="37">
        <v>3</v>
      </c>
      <c r="M8" s="37">
        <v>3</v>
      </c>
      <c r="N8" s="37">
        <v>2</v>
      </c>
      <c r="O8" s="37">
        <v>2</v>
      </c>
      <c r="P8" s="37">
        <v>1</v>
      </c>
      <c r="S8" s="41" t="str">
        <f>$N$2</f>
        <v>EuroJackpot</v>
      </c>
      <c r="U8" s="76" t="str">
        <f>IFERROR(IF(OR($I$2&gt;$L$2,$I$2&lt;$M$2,$I$3&gt;$L$3,$I$3&lt;$M$3),$N$2,CONCATENATE($N$2," (",$I$2,"/",$I$3,")")),"")</f>
        <v>EuroJackpot (5/2)</v>
      </c>
      <c r="V8" s="77"/>
      <c r="W8" s="32">
        <f>IFERROR(IF(OR($I$4&lt;1,$I$4&gt;1000000),"",$I$4),"")</f>
        <v>1</v>
      </c>
      <c r="X8" s="24">
        <f>IFERROR(IF(OR($I$2&gt;$L$2,$I$2&lt;$M$2,$I$3&gt;$L$3,$I$3&lt;$M$3),"",COMBIN($I$2,$M$2)*COMBIN($I$3,$M$3)),"")</f>
        <v>1</v>
      </c>
      <c r="Y8" s="98"/>
      <c r="Z8" s="98"/>
    </row>
    <row r="9" spans="2:26" ht="15" customHeight="1" x14ac:dyDescent="0.25">
      <c r="B9" s="80"/>
      <c r="C9" s="80"/>
      <c r="D9" s="2" t="str">
        <f>K3</f>
        <v>EZ</v>
      </c>
      <c r="E9" s="37">
        <v>2</v>
      </c>
      <c r="F9" s="37">
        <v>1</v>
      </c>
      <c r="G9" s="37">
        <v>0</v>
      </c>
      <c r="H9" s="37">
        <v>2</v>
      </c>
      <c r="I9" s="37">
        <v>1</v>
      </c>
      <c r="J9" s="37">
        <v>0</v>
      </c>
      <c r="K9" s="37">
        <v>2</v>
      </c>
      <c r="L9" s="37">
        <v>1</v>
      </c>
      <c r="M9" s="37">
        <v>0</v>
      </c>
      <c r="N9" s="37">
        <v>2</v>
      </c>
      <c r="O9" s="37">
        <v>1</v>
      </c>
      <c r="P9" s="37">
        <v>2</v>
      </c>
      <c r="S9" s="81" t="s">
        <v>17</v>
      </c>
      <c r="U9" s="78" t="str">
        <f>CONCATENATE($M$2," aus ",$L$2," + ",$M$3," aus ",$L$3)</f>
        <v>5 aus 50 + 2 aus 12</v>
      </c>
      <c r="V9" s="79"/>
      <c r="W9" s="33" t="str">
        <f>IF(W8=1,"Anteil","Anteile")</f>
        <v>Anteil</v>
      </c>
      <c r="X9" s="40">
        <f>IFERROR(IF(OR($I$5&lt;0.01,$I$5&gt;100),"",X8*$I$5/W8),"")</f>
        <v>2</v>
      </c>
      <c r="Y9" s="98"/>
      <c r="Z9" s="98"/>
    </row>
    <row r="10" spans="2:26" ht="15" customHeight="1" x14ac:dyDescent="0.25">
      <c r="B10" s="3" t="str">
        <f>K2</f>
        <v>NZ</v>
      </c>
      <c r="C10" s="3" t="str">
        <f>K3</f>
        <v>EZ</v>
      </c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S10" s="82"/>
      <c r="U10" s="21" t="s">
        <v>4</v>
      </c>
      <c r="V10" s="21" t="s">
        <v>5</v>
      </c>
      <c r="W10" s="21" t="s">
        <v>38</v>
      </c>
      <c r="X10" s="21" t="s">
        <v>39</v>
      </c>
      <c r="Y10" s="98"/>
      <c r="Z10" s="98"/>
    </row>
    <row r="11" spans="2:26" ht="15" customHeight="1" x14ac:dyDescent="0.25">
      <c r="B11" s="37">
        <v>5</v>
      </c>
      <c r="C11" s="37">
        <v>2</v>
      </c>
      <c r="D11" s="6"/>
      <c r="E11" s="30">
        <f>IFERROR(IF(OR($I$2&gt;$L$2-$M$2+$B11,$I$3&gt;$L$3-$M$3+$C11),0,COMBIN($I$2-$B11,$M$2-E$8)*COMBIN($B11,E$8)*COMBIN($I$3-$C11,$M$3-E$9)*COMBIN($C11,E$9)),0)</f>
        <v>1</v>
      </c>
      <c r="F11" s="30">
        <f t="shared" ref="F11:P22" si="0">IFERROR(IF(OR($I$2&gt;$L$2-$M$2+$B11,$I$3&gt;$L$3-$M$3+$C11),0,COMBIN($I$2-$B11,$M$2-F$8)*COMBIN($B11,F$8)*COMBIN($I$3-$C11,$M$3-F$9)*COMBIN($C11,F$9)),0)</f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30">
        <f t="shared" si="0"/>
        <v>0</v>
      </c>
      <c r="O11" s="30">
        <f t="shared" si="0"/>
        <v>0</v>
      </c>
      <c r="P11" s="30">
        <f t="shared" si="0"/>
        <v>0</v>
      </c>
      <c r="Q11" s="99">
        <v>62927172</v>
      </c>
      <c r="R11" s="100">
        <f t="shared" ref="R11:R22" si="1">IF(OR(S11&lt;Q11/100,S11&gt;Q11*100),1,0)</f>
        <v>0</v>
      </c>
      <c r="S11" s="49">
        <v>62927172</v>
      </c>
      <c r="T11" s="101">
        <f t="shared" ref="T11:T22" si="2">IFERROR(IF(X11=0,0,1/V11),"")</f>
        <v>7.1511238420185272E-9</v>
      </c>
      <c r="U11" s="7" t="str">
        <f>CONCATENATE($B11,IF($C11&gt;0,CONCATENATE(" + ",$C11),""))</f>
        <v>5 + 2</v>
      </c>
      <c r="V11" s="14">
        <f t="shared" ref="V11:V22" si="3">IFERROR(IF(OR(X$8="",SUM(R$11:R$31)&gt;0),"",1/(HYPGEOMDIST($B11,$I$2,$M$2,$L$2)*HYPGEOMDIST($C11,$I$3,$M$3,$L$3))),"")</f>
        <v>139838159.99999979</v>
      </c>
      <c r="W11" s="59">
        <f t="shared" ref="W11:W22" si="4">IFERROR(X11/V11/X$9,"")</f>
        <v>0.22500000000000034</v>
      </c>
      <c r="X11" s="25">
        <f>IFERROR(IF(OR(X$8="",V11="",SUM(R$11:R$31)&gt;0),"",(S$11*$E11+S$12*$F11+S$13*$G11+S$14*$H11+S$15*$I11+S$16*$J11+S$17*$K11+S$18*$L11+S$19*$M11+S$20*$N11+S$21*$O11+S$22*$P11)/W$8),"")</f>
        <v>62927172</v>
      </c>
      <c r="Y11" s="98">
        <f>IFERROR(IF(W11&lt;W$24,W$24/W11,W11/W$24),"")</f>
        <v>5.400000000000003</v>
      </c>
      <c r="Z11" s="98">
        <f>IFERROR(W11/IF((V11*X$9)&lt;1500,1500,V11*X$9)^0.25*62.2333,"")</f>
        <v>0.1082782990002403</v>
      </c>
    </row>
    <row r="12" spans="2:26" ht="15" customHeight="1" x14ac:dyDescent="0.25">
      <c r="B12" s="37">
        <v>5</v>
      </c>
      <c r="C12" s="37">
        <v>1</v>
      </c>
      <c r="D12" s="6"/>
      <c r="E12" s="30">
        <f t="shared" ref="E12:E22" si="5">IFERROR(IF(OR($I$2&gt;$L$2-$M$2+$B12,$I$3&gt;$L$3-$M$3+$C12),0,COMBIN($I$2-$B12,$M$2-E$8)*COMBIN($B12,E$8)*COMBIN($I$3-$C12,$M$3-E$9)*COMBIN($C12,E$9)),0)</f>
        <v>0</v>
      </c>
      <c r="F12" s="30">
        <f t="shared" si="0"/>
        <v>1</v>
      </c>
      <c r="G12" s="30">
        <f t="shared" si="0"/>
        <v>0</v>
      </c>
      <c r="H12" s="30">
        <f t="shared" si="0"/>
        <v>0</v>
      </c>
      <c r="I12" s="30">
        <f t="shared" si="0"/>
        <v>0</v>
      </c>
      <c r="J12" s="30">
        <f t="shared" si="0"/>
        <v>0</v>
      </c>
      <c r="K12" s="30">
        <f t="shared" si="0"/>
        <v>0</v>
      </c>
      <c r="L12" s="30">
        <f t="shared" si="0"/>
        <v>0</v>
      </c>
      <c r="M12" s="30">
        <f t="shared" si="0"/>
        <v>0</v>
      </c>
      <c r="N12" s="30">
        <f t="shared" si="0"/>
        <v>0</v>
      </c>
      <c r="O12" s="30">
        <f t="shared" si="0"/>
        <v>0</v>
      </c>
      <c r="P12" s="30">
        <f t="shared" si="0"/>
        <v>0</v>
      </c>
      <c r="Q12" s="99">
        <v>601304.08799999999</v>
      </c>
      <c r="R12" s="100">
        <f t="shared" si="1"/>
        <v>0</v>
      </c>
      <c r="S12" s="49">
        <v>601304.08799999999</v>
      </c>
      <c r="T12" s="101">
        <f t="shared" si="2"/>
        <v>1.4302247684037048E-7</v>
      </c>
      <c r="U12" s="7" t="str">
        <f t="shared" ref="U12:U22" si="6">CONCATENATE($B12,IF($C12&gt;0,CONCATENATE(" + ",$C12),""))</f>
        <v>5 + 1</v>
      </c>
      <c r="V12" s="14">
        <f t="shared" si="3"/>
        <v>6991907.9999999925</v>
      </c>
      <c r="W12" s="59">
        <f t="shared" si="4"/>
        <v>4.3000000000000045E-2</v>
      </c>
      <c r="X12" s="25">
        <f t="shared" ref="X12:X22" si="7">IFERROR(IF(OR(X$8="",V12="",SUM(R$11:R$31)&gt;0),"",(S$11*$E12+S$12*$F12+S$13*$G12+S$14*$H12+S$15*$I12+S$16*$J12+S$17*$K12+S$18*$L12+S$19*$M12+S$20*$N12+S$21*$O12+S$22*$P12)/W$8),"")</f>
        <v>601304.08799999999</v>
      </c>
      <c r="Y12" s="98">
        <f t="shared" ref="Y12:Y22" si="8">IFERROR(IF(W12&lt;W$24,W$24/W12,W12/W$24),"")</f>
        <v>1.032</v>
      </c>
      <c r="Z12" s="98">
        <f t="shared" ref="Z12:Z22" si="9">IFERROR(W12/IF((V12*X$9)&lt;1500,1500,V12*X$9)^0.25*62.2333,"")</f>
        <v>4.376076051675027E-2</v>
      </c>
    </row>
    <row r="13" spans="2:26" ht="15" customHeight="1" x14ac:dyDescent="0.25">
      <c r="B13" s="37">
        <v>5</v>
      </c>
      <c r="C13" s="37">
        <v>0</v>
      </c>
      <c r="D13" s="6"/>
      <c r="E13" s="30">
        <f t="shared" si="5"/>
        <v>0</v>
      </c>
      <c r="F13" s="30">
        <f t="shared" si="0"/>
        <v>0</v>
      </c>
      <c r="G13" s="30">
        <f t="shared" si="0"/>
        <v>1</v>
      </c>
      <c r="H13" s="30">
        <f t="shared" si="0"/>
        <v>0</v>
      </c>
      <c r="I13" s="30">
        <f t="shared" si="0"/>
        <v>0</v>
      </c>
      <c r="J13" s="30">
        <f t="shared" si="0"/>
        <v>0</v>
      </c>
      <c r="K13" s="30">
        <f t="shared" si="0"/>
        <v>0</v>
      </c>
      <c r="L13" s="30">
        <f t="shared" si="0"/>
        <v>0</v>
      </c>
      <c r="M13" s="30">
        <f t="shared" si="0"/>
        <v>0</v>
      </c>
      <c r="N13" s="30">
        <f t="shared" si="0"/>
        <v>0</v>
      </c>
      <c r="O13" s="30">
        <f t="shared" si="0"/>
        <v>0</v>
      </c>
      <c r="P13" s="30">
        <f t="shared" si="0"/>
        <v>0</v>
      </c>
      <c r="Q13" s="99">
        <v>150714.46133333299</v>
      </c>
      <c r="R13" s="100">
        <f t="shared" si="1"/>
        <v>0</v>
      </c>
      <c r="S13" s="49">
        <v>150714.46133333299</v>
      </c>
      <c r="T13" s="101">
        <f t="shared" si="2"/>
        <v>3.218005728908337E-7</v>
      </c>
      <c r="U13" s="7" t="str">
        <f t="shared" si="6"/>
        <v>5</v>
      </c>
      <c r="V13" s="14">
        <f t="shared" si="3"/>
        <v>3107514.6666666623</v>
      </c>
      <c r="W13" s="59">
        <f t="shared" si="4"/>
        <v>2.424999999999998E-2</v>
      </c>
      <c r="X13" s="25">
        <f t="shared" si="7"/>
        <v>150714.46133333299</v>
      </c>
      <c r="Y13" s="98">
        <f t="shared" si="8"/>
        <v>1.718213058419247</v>
      </c>
      <c r="Z13" s="98">
        <f t="shared" si="9"/>
        <v>3.0225519767879527E-2</v>
      </c>
    </row>
    <row r="14" spans="2:26" ht="15" customHeight="1" x14ac:dyDescent="0.25">
      <c r="B14" s="37">
        <v>4</v>
      </c>
      <c r="C14" s="37">
        <v>2</v>
      </c>
      <c r="D14" s="6"/>
      <c r="E14" s="30">
        <f t="shared" si="5"/>
        <v>0</v>
      </c>
      <c r="F14" s="30">
        <f t="shared" si="0"/>
        <v>0</v>
      </c>
      <c r="G14" s="30">
        <f t="shared" si="0"/>
        <v>0</v>
      </c>
      <c r="H14" s="30">
        <f t="shared" si="0"/>
        <v>1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0">
        <f t="shared" si="0"/>
        <v>0</v>
      </c>
      <c r="M14" s="30">
        <f t="shared" si="0"/>
        <v>0</v>
      </c>
      <c r="N14" s="30">
        <f t="shared" si="0"/>
        <v>0</v>
      </c>
      <c r="O14" s="30">
        <f t="shared" si="0"/>
        <v>0</v>
      </c>
      <c r="P14" s="30">
        <f t="shared" si="0"/>
        <v>0</v>
      </c>
      <c r="Q14" s="99">
        <v>4972.0234666666702</v>
      </c>
      <c r="R14" s="100">
        <f t="shared" si="1"/>
        <v>0</v>
      </c>
      <c r="S14" s="49">
        <v>4972.0234666666702</v>
      </c>
      <c r="T14" s="101">
        <f t="shared" si="2"/>
        <v>1.6090028644541621E-6</v>
      </c>
      <c r="U14" s="8" t="str">
        <f t="shared" si="6"/>
        <v>4 + 2</v>
      </c>
      <c r="V14" s="15">
        <f t="shared" si="3"/>
        <v>621502.93333333486</v>
      </c>
      <c r="W14" s="60">
        <f t="shared" si="4"/>
        <v>3.9999999999999931E-3</v>
      </c>
      <c r="X14" s="26">
        <f t="shared" si="7"/>
        <v>4972.0234666666702</v>
      </c>
      <c r="Y14" s="98">
        <f t="shared" si="8"/>
        <v>10.416666666666694</v>
      </c>
      <c r="Z14" s="98">
        <f t="shared" si="9"/>
        <v>7.4552897561528195E-3</v>
      </c>
    </row>
    <row r="15" spans="2:26" ht="15" customHeight="1" x14ac:dyDescent="0.25">
      <c r="B15" s="37">
        <v>4</v>
      </c>
      <c r="C15" s="37">
        <v>1</v>
      </c>
      <c r="D15" s="6"/>
      <c r="E15" s="30">
        <f t="shared" si="5"/>
        <v>0</v>
      </c>
      <c r="F15" s="30">
        <f t="shared" si="0"/>
        <v>0</v>
      </c>
      <c r="G15" s="30">
        <f t="shared" si="0"/>
        <v>0</v>
      </c>
      <c r="H15" s="30">
        <f t="shared" si="0"/>
        <v>0</v>
      </c>
      <c r="I15" s="30">
        <f t="shared" si="0"/>
        <v>1</v>
      </c>
      <c r="J15" s="30">
        <f t="shared" si="0"/>
        <v>0</v>
      </c>
      <c r="K15" s="30">
        <f t="shared" si="0"/>
        <v>0</v>
      </c>
      <c r="L15" s="30">
        <f t="shared" si="0"/>
        <v>0</v>
      </c>
      <c r="M15" s="30">
        <f t="shared" si="0"/>
        <v>0</v>
      </c>
      <c r="N15" s="30">
        <f t="shared" si="0"/>
        <v>0</v>
      </c>
      <c r="O15" s="30">
        <f t="shared" si="0"/>
        <v>0</v>
      </c>
      <c r="P15" s="30">
        <f t="shared" si="0"/>
        <v>0</v>
      </c>
      <c r="Q15" s="99">
        <v>310.751466666667</v>
      </c>
      <c r="R15" s="100">
        <f t="shared" si="1"/>
        <v>0</v>
      </c>
      <c r="S15" s="49">
        <v>310.751466666667</v>
      </c>
      <c r="T15" s="101">
        <f t="shared" si="2"/>
        <v>3.2180057289083234E-5</v>
      </c>
      <c r="U15" s="8" t="str">
        <f t="shared" si="6"/>
        <v>4 + 1</v>
      </c>
      <c r="V15" s="15">
        <f t="shared" si="3"/>
        <v>31075.146666666755</v>
      </c>
      <c r="W15" s="60">
        <f t="shared" si="4"/>
        <v>4.9999999999999914E-3</v>
      </c>
      <c r="X15" s="26">
        <f t="shared" si="7"/>
        <v>310.751466666667</v>
      </c>
      <c r="Y15" s="98">
        <f t="shared" si="8"/>
        <v>8.3333333333333552</v>
      </c>
      <c r="Z15" s="98">
        <f t="shared" si="9"/>
        <v>1.9707522871947002E-2</v>
      </c>
    </row>
    <row r="16" spans="2:26" ht="15" customHeight="1" x14ac:dyDescent="0.25">
      <c r="B16" s="37">
        <v>4</v>
      </c>
      <c r="C16" s="37">
        <v>0</v>
      </c>
      <c r="D16" s="6"/>
      <c r="E16" s="30">
        <f t="shared" si="5"/>
        <v>0</v>
      </c>
      <c r="F16" s="30">
        <f t="shared" si="0"/>
        <v>0</v>
      </c>
      <c r="G16" s="30">
        <f t="shared" si="0"/>
        <v>0</v>
      </c>
      <c r="H16" s="30">
        <f t="shared" si="0"/>
        <v>0</v>
      </c>
      <c r="I16" s="30">
        <f t="shared" si="0"/>
        <v>0</v>
      </c>
      <c r="J16" s="30">
        <f t="shared" si="0"/>
        <v>1</v>
      </c>
      <c r="K16" s="30">
        <f t="shared" si="0"/>
        <v>0</v>
      </c>
      <c r="L16" s="30">
        <f t="shared" si="0"/>
        <v>0</v>
      </c>
      <c r="M16" s="30">
        <f t="shared" si="0"/>
        <v>0</v>
      </c>
      <c r="N16" s="30">
        <f t="shared" si="0"/>
        <v>0</v>
      </c>
      <c r="O16" s="30">
        <f t="shared" si="0"/>
        <v>0</v>
      </c>
      <c r="P16" s="30">
        <f t="shared" si="0"/>
        <v>0</v>
      </c>
      <c r="Q16" s="99">
        <v>110.48941037037</v>
      </c>
      <c r="R16" s="100">
        <f t="shared" si="1"/>
        <v>0</v>
      </c>
      <c r="S16" s="49">
        <v>110.48941037037</v>
      </c>
      <c r="T16" s="101">
        <f t="shared" si="2"/>
        <v>7.2405128900437316E-5</v>
      </c>
      <c r="U16" s="8" t="str">
        <f t="shared" si="6"/>
        <v>4</v>
      </c>
      <c r="V16" s="15">
        <f t="shared" si="3"/>
        <v>13811.176296296328</v>
      </c>
      <c r="W16" s="60">
        <f t="shared" si="4"/>
        <v>3.9999999999999775E-3</v>
      </c>
      <c r="X16" s="26">
        <f t="shared" si="7"/>
        <v>110.48941037037</v>
      </c>
      <c r="Y16" s="98">
        <f t="shared" si="8"/>
        <v>10.416666666666735</v>
      </c>
      <c r="Z16" s="98">
        <f t="shared" si="9"/>
        <v>1.9309350052199553E-2</v>
      </c>
    </row>
    <row r="17" spans="2:26" ht="15" customHeight="1" x14ac:dyDescent="0.25">
      <c r="B17" s="37">
        <v>3</v>
      </c>
      <c r="C17" s="37">
        <v>2</v>
      </c>
      <c r="D17" s="6"/>
      <c r="E17" s="30">
        <f t="shared" si="5"/>
        <v>0</v>
      </c>
      <c r="F17" s="30">
        <f t="shared" si="0"/>
        <v>0</v>
      </c>
      <c r="G17" s="30">
        <f t="shared" si="0"/>
        <v>0</v>
      </c>
      <c r="H17" s="30">
        <f t="shared" si="0"/>
        <v>0</v>
      </c>
      <c r="I17" s="30">
        <f t="shared" si="0"/>
        <v>0</v>
      </c>
      <c r="J17" s="30">
        <f t="shared" si="0"/>
        <v>0</v>
      </c>
      <c r="K17" s="30">
        <f t="shared" si="0"/>
        <v>1</v>
      </c>
      <c r="L17" s="30">
        <f t="shared" si="0"/>
        <v>0</v>
      </c>
      <c r="M17" s="30">
        <f t="shared" si="0"/>
        <v>0</v>
      </c>
      <c r="N17" s="30">
        <f t="shared" si="0"/>
        <v>0</v>
      </c>
      <c r="O17" s="30">
        <f t="shared" si="0"/>
        <v>0</v>
      </c>
      <c r="P17" s="30">
        <f t="shared" si="0"/>
        <v>0</v>
      </c>
      <c r="Q17" s="99">
        <v>155.37573333333299</v>
      </c>
      <c r="R17" s="100">
        <f t="shared" si="1"/>
        <v>0</v>
      </c>
      <c r="S17" s="49">
        <v>155.37573333333299</v>
      </c>
      <c r="T17" s="101">
        <f t="shared" si="2"/>
        <v>7.0796126035983317E-5</v>
      </c>
      <c r="U17" s="9" t="str">
        <f t="shared" si="6"/>
        <v>3 + 2</v>
      </c>
      <c r="V17" s="16">
        <f t="shared" si="3"/>
        <v>14125.066666666666</v>
      </c>
      <c r="W17" s="61">
        <f t="shared" si="4"/>
        <v>5.4999999999999884E-3</v>
      </c>
      <c r="X17" s="27">
        <f t="shared" si="7"/>
        <v>155.37573333333299</v>
      </c>
      <c r="Y17" s="98">
        <f t="shared" si="8"/>
        <v>7.5757575757575992</v>
      </c>
      <c r="Z17" s="98">
        <f t="shared" si="9"/>
        <v>2.6401608977626383E-2</v>
      </c>
    </row>
    <row r="18" spans="2:26" ht="15" customHeight="1" x14ac:dyDescent="0.25">
      <c r="B18" s="37">
        <v>3</v>
      </c>
      <c r="C18" s="37">
        <v>1</v>
      </c>
      <c r="D18" s="6"/>
      <c r="E18" s="30">
        <f t="shared" si="5"/>
        <v>0</v>
      </c>
      <c r="F18" s="30">
        <f t="shared" si="0"/>
        <v>0</v>
      </c>
      <c r="G18" s="30">
        <f t="shared" si="0"/>
        <v>0</v>
      </c>
      <c r="H18" s="30">
        <f t="shared" si="0"/>
        <v>0</v>
      </c>
      <c r="I18" s="30">
        <f t="shared" si="0"/>
        <v>0</v>
      </c>
      <c r="J18" s="30">
        <f t="shared" si="0"/>
        <v>0</v>
      </c>
      <c r="K18" s="30">
        <f t="shared" si="0"/>
        <v>0</v>
      </c>
      <c r="L18" s="30">
        <f t="shared" si="0"/>
        <v>1</v>
      </c>
      <c r="M18" s="30">
        <f t="shared" si="0"/>
        <v>0</v>
      </c>
      <c r="N18" s="30">
        <f t="shared" si="0"/>
        <v>0</v>
      </c>
      <c r="O18" s="30">
        <f t="shared" si="0"/>
        <v>0</v>
      </c>
      <c r="P18" s="30">
        <f t="shared" si="0"/>
        <v>0</v>
      </c>
      <c r="Q18" s="99">
        <v>20.128219999999999</v>
      </c>
      <c r="R18" s="100">
        <f t="shared" si="1"/>
        <v>0</v>
      </c>
      <c r="S18" s="49">
        <v>20.128219999999999</v>
      </c>
      <c r="T18" s="101">
        <f t="shared" si="2"/>
        <v>1.415922520719666E-3</v>
      </c>
      <c r="U18" s="9" t="str">
        <f t="shared" si="6"/>
        <v>3 + 1</v>
      </c>
      <c r="V18" s="16">
        <f t="shared" si="3"/>
        <v>706.25333333333344</v>
      </c>
      <c r="W18" s="61">
        <f t="shared" si="4"/>
        <v>1.4249999999999997E-2</v>
      </c>
      <c r="X18" s="27">
        <f t="shared" si="7"/>
        <v>20.128219999999999</v>
      </c>
      <c r="Y18" s="98">
        <f t="shared" si="8"/>
        <v>2.9239766081871377</v>
      </c>
      <c r="Z18" s="98">
        <f t="shared" si="9"/>
        <v>0.14250000520041833</v>
      </c>
    </row>
    <row r="19" spans="2:26" ht="15" customHeight="1" x14ac:dyDescent="0.25">
      <c r="B19" s="37">
        <v>3</v>
      </c>
      <c r="C19" s="37">
        <v>0</v>
      </c>
      <c r="D19" s="6"/>
      <c r="E19" s="30">
        <f t="shared" si="5"/>
        <v>0</v>
      </c>
      <c r="F19" s="30">
        <f t="shared" si="0"/>
        <v>0</v>
      </c>
      <c r="G19" s="30">
        <f t="shared" si="0"/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  <c r="K19" s="30">
        <f t="shared" si="0"/>
        <v>0</v>
      </c>
      <c r="L19" s="30">
        <f t="shared" si="0"/>
        <v>0</v>
      </c>
      <c r="M19" s="30">
        <f t="shared" si="0"/>
        <v>1</v>
      </c>
      <c r="N19" s="30">
        <f t="shared" si="0"/>
        <v>0</v>
      </c>
      <c r="O19" s="30">
        <f t="shared" si="0"/>
        <v>0</v>
      </c>
      <c r="P19" s="30">
        <f t="shared" si="0"/>
        <v>0</v>
      </c>
      <c r="Q19" s="99">
        <v>16.95008</v>
      </c>
      <c r="R19" s="100">
        <f t="shared" si="1"/>
        <v>0</v>
      </c>
      <c r="S19" s="49">
        <v>16.95008</v>
      </c>
      <c r="T19" s="101">
        <f t="shared" si="2"/>
        <v>3.1858256716192496E-3</v>
      </c>
      <c r="U19" s="9" t="str">
        <f t="shared" si="6"/>
        <v>3</v>
      </c>
      <c r="V19" s="16">
        <f t="shared" si="3"/>
        <v>313.89037037037031</v>
      </c>
      <c r="W19" s="61">
        <f t="shared" si="4"/>
        <v>2.7000000000000007E-2</v>
      </c>
      <c r="X19" s="27">
        <f t="shared" si="7"/>
        <v>16.95008</v>
      </c>
      <c r="Y19" s="98">
        <f t="shared" si="8"/>
        <v>1.543209876543211</v>
      </c>
      <c r="Z19" s="98">
        <f t="shared" si="9"/>
        <v>0.27000000985342432</v>
      </c>
    </row>
    <row r="20" spans="2:26" ht="15" customHeight="1" x14ac:dyDescent="0.25">
      <c r="B20" s="37">
        <v>2</v>
      </c>
      <c r="C20" s="37">
        <v>2</v>
      </c>
      <c r="D20" s="6"/>
      <c r="E20" s="30">
        <f t="shared" si="5"/>
        <v>0</v>
      </c>
      <c r="F20" s="30">
        <f t="shared" si="0"/>
        <v>0</v>
      </c>
      <c r="G20" s="30">
        <f t="shared" si="0"/>
        <v>0</v>
      </c>
      <c r="H20" s="30">
        <f t="shared" si="0"/>
        <v>0</v>
      </c>
      <c r="I20" s="30">
        <f t="shared" si="0"/>
        <v>0</v>
      </c>
      <c r="J20" s="30">
        <f t="shared" si="0"/>
        <v>0</v>
      </c>
      <c r="K20" s="30">
        <f t="shared" si="0"/>
        <v>0</v>
      </c>
      <c r="L20" s="30">
        <f t="shared" si="0"/>
        <v>0</v>
      </c>
      <c r="M20" s="30">
        <f t="shared" si="0"/>
        <v>0</v>
      </c>
      <c r="N20" s="30">
        <f t="shared" si="0"/>
        <v>1</v>
      </c>
      <c r="O20" s="30">
        <f t="shared" si="0"/>
        <v>0</v>
      </c>
      <c r="P20" s="30">
        <f t="shared" si="0"/>
        <v>0</v>
      </c>
      <c r="Q20" s="99">
        <v>25.129479069767399</v>
      </c>
      <c r="R20" s="100">
        <f t="shared" si="1"/>
        <v>0</v>
      </c>
      <c r="S20" s="49">
        <v>25.129479069767399</v>
      </c>
      <c r="T20" s="101">
        <f t="shared" si="2"/>
        <v>1.0147444731824279E-3</v>
      </c>
      <c r="U20" s="10" t="str">
        <f t="shared" si="6"/>
        <v>2 + 2</v>
      </c>
      <c r="V20" s="17">
        <f t="shared" si="3"/>
        <v>985.46976744186009</v>
      </c>
      <c r="W20" s="62">
        <f t="shared" si="4"/>
        <v>1.2749999999999984E-2</v>
      </c>
      <c r="X20" s="28">
        <f t="shared" si="7"/>
        <v>25.129479069767399</v>
      </c>
      <c r="Y20" s="98">
        <f t="shared" si="8"/>
        <v>3.2679738562091578</v>
      </c>
      <c r="Z20" s="98">
        <f t="shared" si="9"/>
        <v>0.11908709194819232</v>
      </c>
    </row>
    <row r="21" spans="2:26" ht="15" customHeight="1" x14ac:dyDescent="0.25">
      <c r="B21" s="37">
        <v>2</v>
      </c>
      <c r="C21" s="37">
        <v>1</v>
      </c>
      <c r="D21" s="6"/>
      <c r="E21" s="30">
        <f t="shared" si="5"/>
        <v>0</v>
      </c>
      <c r="F21" s="30">
        <f t="shared" si="0"/>
        <v>0</v>
      </c>
      <c r="G21" s="30">
        <f t="shared" si="0"/>
        <v>0</v>
      </c>
      <c r="H21" s="30">
        <f t="shared" si="0"/>
        <v>0</v>
      </c>
      <c r="I21" s="30">
        <f t="shared" si="0"/>
        <v>0</v>
      </c>
      <c r="J21" s="30">
        <f t="shared" si="0"/>
        <v>0</v>
      </c>
      <c r="K21" s="30">
        <f t="shared" si="0"/>
        <v>0</v>
      </c>
      <c r="L21" s="30">
        <f t="shared" si="0"/>
        <v>0</v>
      </c>
      <c r="M21" s="30">
        <f t="shared" si="0"/>
        <v>0</v>
      </c>
      <c r="N21" s="30">
        <f t="shared" si="0"/>
        <v>0</v>
      </c>
      <c r="O21" s="30">
        <f t="shared" si="0"/>
        <v>1</v>
      </c>
      <c r="P21" s="30">
        <f t="shared" si="0"/>
        <v>0</v>
      </c>
      <c r="Q21" s="99">
        <v>10.002518139534899</v>
      </c>
      <c r="R21" s="100">
        <f t="shared" si="1"/>
        <v>0</v>
      </c>
      <c r="S21" s="49">
        <v>10.002518139534899</v>
      </c>
      <c r="T21" s="101">
        <f t="shared" si="2"/>
        <v>2.029488946364855E-2</v>
      </c>
      <c r="U21" s="10" t="str">
        <f t="shared" si="6"/>
        <v>2 + 1</v>
      </c>
      <c r="V21" s="17">
        <f t="shared" si="3"/>
        <v>49.27348837209302</v>
      </c>
      <c r="W21" s="62">
        <f t="shared" si="4"/>
        <v>0.10150000000000016</v>
      </c>
      <c r="X21" s="28">
        <f t="shared" si="7"/>
        <v>10.002518139534899</v>
      </c>
      <c r="Y21" s="98">
        <f t="shared" si="8"/>
        <v>2.4360000000000017</v>
      </c>
      <c r="Z21" s="98">
        <f t="shared" si="9"/>
        <v>1.0150000370415779</v>
      </c>
    </row>
    <row r="22" spans="2:26" ht="15" customHeight="1" x14ac:dyDescent="0.25">
      <c r="B22" s="37">
        <v>1</v>
      </c>
      <c r="C22" s="37">
        <v>2</v>
      </c>
      <c r="D22" s="6"/>
      <c r="E22" s="30">
        <f t="shared" si="5"/>
        <v>0</v>
      </c>
      <c r="F22" s="30">
        <f t="shared" si="0"/>
        <v>0</v>
      </c>
      <c r="G22" s="30">
        <f t="shared" si="0"/>
        <v>0</v>
      </c>
      <c r="H22" s="30">
        <f t="shared" si="0"/>
        <v>0</v>
      </c>
      <c r="I22" s="30">
        <f t="shared" si="0"/>
        <v>0</v>
      </c>
      <c r="J22" s="30">
        <f t="shared" si="0"/>
        <v>0</v>
      </c>
      <c r="K22" s="30">
        <f t="shared" si="0"/>
        <v>0</v>
      </c>
      <c r="L22" s="30">
        <f t="shared" si="0"/>
        <v>0</v>
      </c>
      <c r="M22" s="30">
        <f t="shared" si="0"/>
        <v>0</v>
      </c>
      <c r="N22" s="30">
        <f t="shared" si="0"/>
        <v>0</v>
      </c>
      <c r="O22" s="30">
        <f t="shared" si="0"/>
        <v>0</v>
      </c>
      <c r="P22" s="30">
        <f t="shared" si="0"/>
        <v>1</v>
      </c>
      <c r="Q22" s="99">
        <v>12.6703255813953</v>
      </c>
      <c r="R22" s="100">
        <f t="shared" si="1"/>
        <v>0</v>
      </c>
      <c r="S22" s="49">
        <v>12.6703255813953</v>
      </c>
      <c r="T22" s="101">
        <f t="shared" si="2"/>
        <v>5.3274084842077421E-3</v>
      </c>
      <c r="U22" s="11" t="str">
        <f t="shared" si="6"/>
        <v>1 + 2</v>
      </c>
      <c r="V22" s="18">
        <f t="shared" si="3"/>
        <v>187.70852713178303</v>
      </c>
      <c r="W22" s="63">
        <f t="shared" si="4"/>
        <v>3.3749999999999857E-2</v>
      </c>
      <c r="X22" s="31">
        <f t="shared" si="7"/>
        <v>12.6703255813953</v>
      </c>
      <c r="Y22" s="98">
        <f t="shared" si="8"/>
        <v>1.2345679012345743</v>
      </c>
      <c r="Z22" s="98">
        <f t="shared" si="9"/>
        <v>0.3375000123167789</v>
      </c>
    </row>
    <row r="23" spans="2:26" ht="15" customHeight="1" x14ac:dyDescent="0.25">
      <c r="U23" s="12" t="s">
        <v>8</v>
      </c>
      <c r="V23" s="19">
        <f>IFERROR(1/SUM(T11:T22),"")</f>
        <v>31.830657943167051</v>
      </c>
      <c r="W23" s="58">
        <f>IF(SUM(W11:W22)=0,"",SUM(W11:W22))</f>
        <v>0.50000000000000044</v>
      </c>
      <c r="X23" s="20">
        <f>IFERROR(X9*W23,"")</f>
        <v>1.0000000000000009</v>
      </c>
      <c r="Z23" s="98"/>
    </row>
    <row r="24" spans="2:26" ht="15" customHeight="1" x14ac:dyDescent="0.25">
      <c r="U24" s="13"/>
      <c r="V24" s="13"/>
      <c r="W24" s="101">
        <f>IFERROR(AVERAGE(W11:W22),"")</f>
        <v>4.1666666666666706E-2</v>
      </c>
      <c r="X24" s="13"/>
      <c r="Y24" s="98">
        <f>IFERROR(AVERAGE(Y11:Y22),"")</f>
        <v>4.6915304619181439</v>
      </c>
      <c r="Z24" s="98">
        <f>IF(SUM(Z11:Z22)=0,"",SUM(Z11:Z22))</f>
        <v>2.1392255073031876</v>
      </c>
    </row>
    <row r="26" spans="2:26" x14ac:dyDescent="0.25">
      <c r="B26" s="39" t="s">
        <v>36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2:26" x14ac:dyDescent="0.25">
      <c r="B27" s="39" t="s">
        <v>35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2:26" ht="15" thickBot="1" x14ac:dyDescent="0.3"/>
    <row r="29" spans="2:26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</row>
    <row r="30" spans="2:26" x14ac:dyDescent="0.25">
      <c r="B30" s="74" t="s">
        <v>11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</row>
    <row r="31" spans="2:26" ht="7.5" customHeight="1" x14ac:dyDescent="0.25">
      <c r="B31"/>
      <c r="C31"/>
      <c r="D31"/>
      <c r="E31"/>
      <c r="F31"/>
      <c r="G31"/>
      <c r="H31"/>
      <c r="I31"/>
    </row>
    <row r="32" spans="2:26" x14ac:dyDescent="0.25">
      <c r="B32" s="75" t="s">
        <v>12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</row>
  </sheetData>
  <sheetProtection algorithmName="SHA-512" hashValue="u6SwV2f8VPuKc0uXMjFSkBElAk9/UoLPn/P1BPSkqBO3PkQFM8d5HME3kFSXwjqqgACujDEnQ/Tmh5cgUOwuZQ==" saltValue="rNQ5qYiS5Fn94WPY89NbTg==" spinCount="100000" sheet="1" objects="1" scenarios="1" selectLockedCells="1"/>
  <mergeCells count="18">
    <mergeCell ref="B30:X30"/>
    <mergeCell ref="B32:X32"/>
    <mergeCell ref="U8:V8"/>
    <mergeCell ref="U9:V9"/>
    <mergeCell ref="B2:H2"/>
    <mergeCell ref="B3:H3"/>
    <mergeCell ref="B4:H4"/>
    <mergeCell ref="B5:H5"/>
    <mergeCell ref="B8:C9"/>
    <mergeCell ref="U2:W2"/>
    <mergeCell ref="U3:W3"/>
    <mergeCell ref="U4:W4"/>
    <mergeCell ref="S9:S10"/>
    <mergeCell ref="I2:J2"/>
    <mergeCell ref="I3:J3"/>
    <mergeCell ref="I4:J4"/>
    <mergeCell ref="U5:W5"/>
    <mergeCell ref="I5:J5"/>
  </mergeCells>
  <conditionalFormatting sqref="W23">
    <cfRule type="cellIs" dxfId="63" priority="41" stopIfTrue="1" operator="greaterThanOrEqual">
      <formula>0.6</formula>
    </cfRule>
    <cfRule type="cellIs" dxfId="62" priority="42" stopIfTrue="1" operator="greaterThanOrEqual">
      <formula>0.4</formula>
    </cfRule>
    <cfRule type="cellIs" dxfId="61" priority="43" stopIfTrue="1" operator="lessThan">
      <formula>0.4</formula>
    </cfRule>
  </conditionalFormatting>
  <conditionalFormatting sqref="E11:P22">
    <cfRule type="expression" dxfId="60" priority="27">
      <formula>IF(AND(E11&gt;0,E11&lt;1000000000),TRUE,FALSE)</formula>
    </cfRule>
    <cfRule type="expression" dxfId="59" priority="38">
      <formula>IF(E11=0,TRUE,FALSE)</formula>
    </cfRule>
  </conditionalFormatting>
  <conditionalFormatting sqref="E11:P22">
    <cfRule type="expression" dxfId="58" priority="39">
      <formula>IF(E11&gt;=1000000,TRUE,FALSE)</formula>
    </cfRule>
  </conditionalFormatting>
  <conditionalFormatting sqref="I4">
    <cfRule type="expression" dxfId="57" priority="19">
      <formula>IF(I4="",FALSE,IF(OR(I4&lt;1,I4&gt;1000000),TRUE,FALSE))</formula>
    </cfRule>
  </conditionalFormatting>
  <conditionalFormatting sqref="I5">
    <cfRule type="expression" dxfId="56" priority="18">
      <formula>IF(I5="",FALSE,IF(OR(I5&lt;0.01,I5&gt;100),TRUE,FALSE))</formula>
    </cfRule>
  </conditionalFormatting>
  <conditionalFormatting sqref="I3">
    <cfRule type="expression" dxfId="55" priority="17">
      <formula>IF(I3="",FALSE,IF(OR(I3&lt;M3,I3&gt;L3),TRUE,FALSE))</formula>
    </cfRule>
  </conditionalFormatting>
  <conditionalFormatting sqref="I2">
    <cfRule type="expression" dxfId="54" priority="16">
      <formula>IF(I2="",FALSE,IF(OR(I2&lt;M2,I2&gt;L2),TRUE,FALSE))</formula>
    </cfRule>
  </conditionalFormatting>
  <conditionalFormatting sqref="X9">
    <cfRule type="expression" dxfId="53" priority="4">
      <formula>IF(X9&gt;=99999999.5,TRUE,FALSE)</formula>
    </cfRule>
    <cfRule type="expression" dxfId="52" priority="5">
      <formula>IF(X9&gt;=99999.95,TRUE,FALSE)</formula>
    </cfRule>
    <cfRule type="expression" dxfId="51" priority="6">
      <formula>IF(X9&gt;=9999.995,TRUE,FALSE)</formula>
    </cfRule>
  </conditionalFormatting>
  <conditionalFormatting sqref="W11:W23">
    <cfRule type="expression" dxfId="50" priority="2">
      <formula>IF(W11&gt;=100,TRUE,FALSE)</formula>
    </cfRule>
    <cfRule type="expression" dxfId="49" priority="3">
      <formula>IF(W11&gt;=10,TRUE,FALSE)</formula>
    </cfRule>
  </conditionalFormatting>
  <conditionalFormatting sqref="S11:S22">
    <cfRule type="expression" dxfId="48" priority="1">
      <formula>IF(S11="",FALSE,IF(OR(S11&lt;Q11/100,S11&gt;Q11*100),TRUE,FALSE))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3"/>
  <sheetViews>
    <sheetView showGridLines="0" workbookViewId="0">
      <selection activeCell="I2" sqref="I2:J2"/>
    </sheetView>
  </sheetViews>
  <sheetFormatPr baseColWidth="10" defaultRowHeight="14.25" x14ac:dyDescent="0.25"/>
  <cols>
    <col min="1" max="1" width="2.85546875" style="1" customWidth="1"/>
    <col min="2" max="3" width="6.28515625" style="1" customWidth="1"/>
    <col min="4" max="4" width="4.28515625" style="1" customWidth="1"/>
    <col min="5" max="17" width="6.28515625" style="1" customWidth="1"/>
    <col min="18" max="19" width="2" style="1" customWidth="1"/>
    <col min="20" max="20" width="17" style="1" customWidth="1"/>
    <col min="21" max="21" width="4.28515625" style="1" customWidth="1"/>
    <col min="22" max="22" width="8.85546875" style="1" customWidth="1"/>
    <col min="23" max="23" width="14.28515625" style="1" customWidth="1"/>
    <col min="24" max="24" width="8.28515625" style="1" customWidth="1"/>
    <col min="25" max="25" width="14.85546875" style="1" customWidth="1"/>
    <col min="26" max="28" width="6.28515625" style="1" customWidth="1"/>
    <col min="29" max="16384" width="11.42578125" style="1"/>
  </cols>
  <sheetData>
    <row r="1" spans="2:27" ht="15" customHeight="1" x14ac:dyDescent="0.25"/>
    <row r="2" spans="2:27" ht="15" customHeight="1" x14ac:dyDescent="0.25">
      <c r="B2" s="83" t="str">
        <f>CONCATENATE("Anzahl Normalzahlen (",K2,") im Vollsystem:")</f>
        <v>Anzahl Normalzahlen (NZ) im Vollsystem:</v>
      </c>
      <c r="C2" s="84"/>
      <c r="D2" s="84"/>
      <c r="E2" s="84"/>
      <c r="F2" s="84"/>
      <c r="G2" s="84"/>
      <c r="H2" s="85"/>
      <c r="I2" s="92">
        <v>5</v>
      </c>
      <c r="J2" s="93"/>
      <c r="K2" s="96" t="s">
        <v>0</v>
      </c>
      <c r="L2" s="96">
        <v>50</v>
      </c>
      <c r="M2" s="96">
        <v>5</v>
      </c>
      <c r="N2" s="97" t="s">
        <v>16</v>
      </c>
      <c r="P2" s="22"/>
      <c r="V2" s="89" t="s">
        <v>13</v>
      </c>
      <c r="W2" s="90"/>
      <c r="X2" s="91"/>
      <c r="Y2" s="51">
        <f>IFERROR(AA25,"")</f>
        <v>1.9550615496646662</v>
      </c>
    </row>
    <row r="3" spans="2:27" ht="15" customHeight="1" x14ac:dyDescent="0.25">
      <c r="B3" s="83" t="str">
        <f>CONCATENATE("Anzahl ",N3," (",K3,") im Vollsystem:")</f>
        <v>Anzahl Sternzahlen (SZ) im Vollsystem:</v>
      </c>
      <c r="C3" s="84"/>
      <c r="D3" s="84"/>
      <c r="E3" s="84"/>
      <c r="F3" s="84"/>
      <c r="G3" s="84"/>
      <c r="H3" s="85"/>
      <c r="I3" s="92">
        <v>2</v>
      </c>
      <c r="J3" s="93"/>
      <c r="K3" s="96" t="s">
        <v>2</v>
      </c>
      <c r="L3" s="96">
        <v>12</v>
      </c>
      <c r="M3" s="96">
        <v>2</v>
      </c>
      <c r="N3" s="97" t="s">
        <v>25</v>
      </c>
      <c r="P3" s="23"/>
      <c r="V3" s="89" t="s">
        <v>10</v>
      </c>
      <c r="W3" s="90"/>
      <c r="X3" s="91"/>
      <c r="Y3" s="35">
        <f>IFERROR(Z25,"")</f>
        <v>12.008965109498176</v>
      </c>
    </row>
    <row r="4" spans="2:27" ht="15" customHeight="1" x14ac:dyDescent="0.25">
      <c r="B4" s="86" t="s">
        <v>14</v>
      </c>
      <c r="C4" s="87"/>
      <c r="D4" s="87"/>
      <c r="E4" s="87"/>
      <c r="F4" s="87"/>
      <c r="G4" s="87"/>
      <c r="H4" s="88"/>
      <c r="I4" s="92">
        <v>1</v>
      </c>
      <c r="J4" s="93"/>
      <c r="V4" s="89" t="s">
        <v>9</v>
      </c>
      <c r="W4" s="90"/>
      <c r="X4" s="91"/>
      <c r="Y4" s="36">
        <f>IFERROR(1/W24,"")</f>
        <v>7.707975419585042E-2</v>
      </c>
    </row>
    <row r="5" spans="2:27" ht="15" customHeight="1" x14ac:dyDescent="0.25">
      <c r="B5" s="89" t="s">
        <v>15</v>
      </c>
      <c r="C5" s="90"/>
      <c r="D5" s="90"/>
      <c r="E5" s="90"/>
      <c r="F5" s="90"/>
      <c r="G5" s="90"/>
      <c r="H5" s="91"/>
      <c r="I5" s="94">
        <v>2.2000000000000002</v>
      </c>
      <c r="J5" s="95"/>
      <c r="V5" s="89" t="s">
        <v>34</v>
      </c>
      <c r="W5" s="90"/>
      <c r="X5" s="91"/>
      <c r="Y5" s="36">
        <f>IFERROR(IF(Y8="","",SUMIF(Y11:Y23,"&gt;"&amp;Y9,U11:U23)),"")</f>
        <v>7.707975419585042E-2</v>
      </c>
    </row>
    <row r="6" spans="2:27" ht="15" customHeight="1" x14ac:dyDescent="0.25">
      <c r="T6" s="96"/>
    </row>
    <row r="7" spans="2:27" ht="15" customHeight="1" x14ac:dyDescent="0.25"/>
    <row r="8" spans="2:27" ht="15" customHeight="1" x14ac:dyDescent="0.25">
      <c r="B8" s="80" t="s">
        <v>1</v>
      </c>
      <c r="C8" s="80"/>
      <c r="D8" s="2" t="str">
        <f>K2</f>
        <v>NZ</v>
      </c>
      <c r="E8" s="37">
        <v>5</v>
      </c>
      <c r="F8" s="37">
        <v>5</v>
      </c>
      <c r="G8" s="37">
        <v>5</v>
      </c>
      <c r="H8" s="37">
        <v>4</v>
      </c>
      <c r="I8" s="37">
        <v>4</v>
      </c>
      <c r="J8" s="37">
        <v>4</v>
      </c>
      <c r="K8" s="37">
        <v>3</v>
      </c>
      <c r="L8" s="37">
        <v>3</v>
      </c>
      <c r="M8" s="37">
        <v>3</v>
      </c>
      <c r="N8" s="37">
        <v>2</v>
      </c>
      <c r="O8" s="37">
        <v>2</v>
      </c>
      <c r="P8" s="37">
        <v>2</v>
      </c>
      <c r="Q8" s="37">
        <v>1</v>
      </c>
      <c r="T8" s="41" t="str">
        <f>$N$2</f>
        <v>EuroMillions</v>
      </c>
      <c r="V8" s="76" t="str">
        <f>IFERROR(IF(OR($I$2&gt;$L$2,$I$2&lt;$M$2,$I$3&gt;$L$3,$I$3&lt;$M$3),$N$2,CONCATENATE($N$2," (",$I$2,"/",$I$3,")")),"")</f>
        <v>EuroMillions (5/2)</v>
      </c>
      <c r="W8" s="77"/>
      <c r="X8" s="32">
        <f>IFERROR(IF(OR($I$4&lt;1,$I$4&gt;1000000),"",$I$4),"")</f>
        <v>1</v>
      </c>
      <c r="Y8" s="24">
        <f>IFERROR(IF(OR($I$2&gt;$L$2,$I$2&lt;$M$2,$I$3&gt;$L$3,$I$3&lt;$M$3),"",COMBIN($I$2,$M$2)*COMBIN($I$3,$M$3)),"")</f>
        <v>1</v>
      </c>
      <c r="Z8" s="98"/>
      <c r="AA8" s="98"/>
    </row>
    <row r="9" spans="2:27" ht="15" customHeight="1" x14ac:dyDescent="0.25">
      <c r="B9" s="80"/>
      <c r="C9" s="80"/>
      <c r="D9" s="2" t="str">
        <f>K3</f>
        <v>SZ</v>
      </c>
      <c r="E9" s="37">
        <v>2</v>
      </c>
      <c r="F9" s="37">
        <v>1</v>
      </c>
      <c r="G9" s="37">
        <v>0</v>
      </c>
      <c r="H9" s="37">
        <v>2</v>
      </c>
      <c r="I9" s="37">
        <v>1</v>
      </c>
      <c r="J9" s="37">
        <v>0</v>
      </c>
      <c r="K9" s="37">
        <v>2</v>
      </c>
      <c r="L9" s="37">
        <v>1</v>
      </c>
      <c r="M9" s="37">
        <v>0</v>
      </c>
      <c r="N9" s="37">
        <v>2</v>
      </c>
      <c r="O9" s="37">
        <v>1</v>
      </c>
      <c r="P9" s="37">
        <v>0</v>
      </c>
      <c r="Q9" s="37">
        <v>2</v>
      </c>
      <c r="T9" s="81" t="s">
        <v>17</v>
      </c>
      <c r="V9" s="78" t="str">
        <f>CONCATENATE($M$2," aus ",$L$2," + ",$M$3," aus ",$L$3)</f>
        <v>5 aus 50 + 2 aus 12</v>
      </c>
      <c r="W9" s="79"/>
      <c r="X9" s="33" t="str">
        <f>IF(X8=1,"Anteil","Anteile")</f>
        <v>Anteil</v>
      </c>
      <c r="Y9" s="40">
        <f>IFERROR(IF(OR($I$5&lt;0.01,$I$5&gt;100),"",Y8*$I$5/X8),"")</f>
        <v>2.2000000000000002</v>
      </c>
      <c r="Z9" s="98"/>
      <c r="AA9" s="98"/>
    </row>
    <row r="10" spans="2:27" ht="15" customHeight="1" x14ac:dyDescent="0.25">
      <c r="B10" s="3" t="str">
        <f>K2</f>
        <v>NZ</v>
      </c>
      <c r="C10" s="3" t="str">
        <f>K3</f>
        <v>SZ</v>
      </c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T10" s="82"/>
      <c r="V10" s="21" t="s">
        <v>4</v>
      </c>
      <c r="W10" s="21" t="s">
        <v>5</v>
      </c>
      <c r="X10" s="21" t="s">
        <v>38</v>
      </c>
      <c r="Y10" s="21" t="s">
        <v>39</v>
      </c>
      <c r="Z10" s="98"/>
      <c r="AA10" s="98"/>
    </row>
    <row r="11" spans="2:27" ht="15" customHeight="1" x14ac:dyDescent="0.25">
      <c r="B11" s="37">
        <v>5</v>
      </c>
      <c r="C11" s="37">
        <v>2</v>
      </c>
      <c r="D11" s="6"/>
      <c r="E11" s="30">
        <f>IFERROR(IF(OR($I$2&gt;$L$2-$M$2+$B11,$I$3&gt;$L$3-$M$3+$C11),0,COMBIN($I$2-$B11,$M$2-E$8)*COMBIN($B11,E$8)*COMBIN($I$3-$C11,$M$3-E$9)*COMBIN($C11,E$9)),0)</f>
        <v>1</v>
      </c>
      <c r="F11" s="30">
        <f t="shared" ref="F11:Q23" si="0">IFERROR(IF(OR($I$2&gt;$L$2-$M$2+$B11,$I$3&gt;$L$3-$M$3+$C11),0,COMBIN($I$2-$B11,$M$2-F$8)*COMBIN($B11,F$8)*COMBIN($I$3-$C11,$M$3-F$9)*COMBIN($C11,F$9)),0)</f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99">
        <v>92293185.599999994</v>
      </c>
      <c r="S11" s="100">
        <f t="shared" ref="S11:S23" si="1">IF(OR(T11&lt;R11/100,T11&gt;R11*100),1,0)</f>
        <v>0</v>
      </c>
      <c r="T11" s="49">
        <v>92293185.599999994</v>
      </c>
      <c r="U11" s="101">
        <f>IFERROR(IF(Y11=0,0,1/W11),"")</f>
        <v>7.1511238420185272E-9</v>
      </c>
      <c r="V11" s="7" t="str">
        <f>CONCATENATE($B11,IF($C11&gt;0,CONCATENATE(" + ",$C11),""))</f>
        <v>5 + 2</v>
      </c>
      <c r="W11" s="14">
        <f t="shared" ref="W11:W23" si="2">IFERROR(IF(OR(Y$8="",SUM(S$11:S$31)&gt;0),"",1/(HYPGEOMDIST($B11,$I$2,$M$2,$L$2)*HYPGEOMDIST($C11,$I$3,$M$3,$L$3))),"")</f>
        <v>139838159.99999979</v>
      </c>
      <c r="X11" s="59">
        <f t="shared" ref="X11:X23" si="3">IFERROR(Y11/W11/Y$9,"")</f>
        <v>0.30000000000000038</v>
      </c>
      <c r="Y11" s="25">
        <f>IFERROR(IF(OR(Y$8="",W11="",SUM(S$11:S$31)&gt;0),"",(T$11*$E11+T$12*$F11+T$13*$G11+T$14*$H11+T$15*$I11+T$16*$J11+T$17*$K11+T$18*$L11+T$19*$M11+T$20*$N11+T$21*$O11+T$22*$P11+T$23*$Q11)/X$8),"")</f>
        <v>92293185.599999994</v>
      </c>
      <c r="Z11" s="98">
        <f>IFERROR(IF(X11&lt;X$25,X$25/X11,X11/X$25),"")</f>
        <v>7.8000000000000007</v>
      </c>
      <c r="AA11" s="98">
        <f>IFERROR(X11/IF((W11*Y$9)&lt;1500,1500,W11*Y$9)^0.25*62.2333,"")</f>
        <v>0.14097171717597193</v>
      </c>
    </row>
    <row r="12" spans="2:27" ht="15" customHeight="1" x14ac:dyDescent="0.25">
      <c r="B12" s="37">
        <v>5</v>
      </c>
      <c r="C12" s="37">
        <v>1</v>
      </c>
      <c r="D12" s="6"/>
      <c r="E12" s="30">
        <f t="shared" ref="E12:E23" si="4">IFERROR(IF(OR($I$2&gt;$L$2-$M$2+$B12,$I$3&gt;$L$3-$M$3+$C12),0,COMBIN($I$2-$B12,$M$2-E$8)*COMBIN($B12,E$8)*COMBIN($I$3-$C12,$M$3-E$9)*COMBIN($C12,E$9)),0)</f>
        <v>0</v>
      </c>
      <c r="F12" s="30">
        <f t="shared" si="0"/>
        <v>1</v>
      </c>
      <c r="G12" s="30">
        <f t="shared" si="0"/>
        <v>0</v>
      </c>
      <c r="H12" s="30">
        <f t="shared" si="0"/>
        <v>0</v>
      </c>
      <c r="I12" s="30">
        <f t="shared" si="0"/>
        <v>0</v>
      </c>
      <c r="J12" s="30">
        <f t="shared" si="0"/>
        <v>0</v>
      </c>
      <c r="K12" s="30">
        <f t="shared" si="0"/>
        <v>0</v>
      </c>
      <c r="L12" s="30">
        <f t="shared" si="0"/>
        <v>0</v>
      </c>
      <c r="M12" s="30">
        <f t="shared" si="0"/>
        <v>0</v>
      </c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99">
        <v>200737.67868000001</v>
      </c>
      <c r="S12" s="100">
        <f t="shared" si="1"/>
        <v>0</v>
      </c>
      <c r="T12" s="49">
        <v>200737.67868000001</v>
      </c>
      <c r="U12" s="101">
        <f t="shared" ref="U12:U23" si="5">IFERROR(IF(Y12=0,0,1/W12),"")</f>
        <v>1.4302247684037048E-7</v>
      </c>
      <c r="V12" s="7" t="str">
        <f t="shared" ref="V12:V23" si="6">CONCATENATE($B12,IF($C12&gt;0,CONCATENATE(" + ",$C12),""))</f>
        <v>5 + 1</v>
      </c>
      <c r="W12" s="14">
        <f t="shared" si="2"/>
        <v>6991907.9999999925</v>
      </c>
      <c r="X12" s="59">
        <f t="shared" si="3"/>
        <v>1.3050000000000013E-2</v>
      </c>
      <c r="Y12" s="25">
        <f t="shared" ref="Y12:Y23" si="7">IFERROR(IF(OR(Y$8="",W12="",SUM(S$11:S$31)&gt;0),"",(T$11*$E12+T$12*$F12+T$13*$G12+T$14*$H12+T$15*$I12+T$16*$J12+T$17*$K12+T$18*$L12+T$19*$M12+T$20*$N12+T$21*$O12+T$22*$P12+T$23*$Q12)/X$8),"")</f>
        <v>200737.67868000001</v>
      </c>
      <c r="Z12" s="98">
        <f t="shared" ref="Z12:Z23" si="8">IFERROR(IF(X12&lt;X$25,X$25/X12,X12/X$25),"")</f>
        <v>2.9472443265546717</v>
      </c>
      <c r="AA12" s="98">
        <f t="shared" ref="AA12:AA23" si="9">IFERROR(X12/IF((W12*Y$9)&lt;1500,1500,W12*Y$9)^0.25*62.2333,"")</f>
        <v>1.2968171514877664E-2</v>
      </c>
    </row>
    <row r="13" spans="2:27" ht="15" customHeight="1" x14ac:dyDescent="0.25">
      <c r="B13" s="37">
        <v>5</v>
      </c>
      <c r="C13" s="37">
        <v>0</v>
      </c>
      <c r="D13" s="6"/>
      <c r="E13" s="30">
        <f t="shared" si="4"/>
        <v>0</v>
      </c>
      <c r="F13" s="30">
        <f t="shared" si="0"/>
        <v>0</v>
      </c>
      <c r="G13" s="30">
        <f t="shared" si="0"/>
        <v>1</v>
      </c>
      <c r="H13" s="30">
        <f t="shared" si="0"/>
        <v>0</v>
      </c>
      <c r="I13" s="30">
        <f t="shared" si="0"/>
        <v>0</v>
      </c>
      <c r="J13" s="30">
        <f t="shared" si="0"/>
        <v>0</v>
      </c>
      <c r="K13" s="30">
        <f t="shared" si="0"/>
        <v>0</v>
      </c>
      <c r="L13" s="30">
        <f t="shared" si="0"/>
        <v>0</v>
      </c>
      <c r="M13" s="30">
        <f t="shared" si="0"/>
        <v>0</v>
      </c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99">
        <v>20851.423413333301</v>
      </c>
      <c r="S13" s="100">
        <f t="shared" si="1"/>
        <v>0</v>
      </c>
      <c r="T13" s="49">
        <v>20851.423413333301</v>
      </c>
      <c r="U13" s="101">
        <f t="shared" si="5"/>
        <v>3.218005728908337E-7</v>
      </c>
      <c r="V13" s="7" t="str">
        <f t="shared" si="6"/>
        <v>5</v>
      </c>
      <c r="W13" s="14">
        <f t="shared" si="2"/>
        <v>3107514.6666666623</v>
      </c>
      <c r="X13" s="59">
        <f t="shared" si="3"/>
        <v>3.0499999999999993E-3</v>
      </c>
      <c r="Y13" s="25">
        <f t="shared" si="7"/>
        <v>20851.423413333301</v>
      </c>
      <c r="Z13" s="98">
        <f t="shared" si="8"/>
        <v>12.610340479192955</v>
      </c>
      <c r="AA13" s="98">
        <f t="shared" si="9"/>
        <v>3.7120490222396427E-3</v>
      </c>
    </row>
    <row r="14" spans="2:27" ht="15" customHeight="1" x14ac:dyDescent="0.25">
      <c r="B14" s="37">
        <v>4</v>
      </c>
      <c r="C14" s="37">
        <v>2</v>
      </c>
      <c r="D14" s="6"/>
      <c r="E14" s="30">
        <f t="shared" si="4"/>
        <v>0</v>
      </c>
      <c r="F14" s="30">
        <f t="shared" si="0"/>
        <v>0</v>
      </c>
      <c r="G14" s="30">
        <f t="shared" si="0"/>
        <v>0</v>
      </c>
      <c r="H14" s="30">
        <f t="shared" si="0"/>
        <v>1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0">
        <f t="shared" si="0"/>
        <v>0</v>
      </c>
      <c r="M14" s="30">
        <f t="shared" si="0"/>
        <v>0</v>
      </c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99">
        <v>1298.94113066667</v>
      </c>
      <c r="S14" s="100">
        <f t="shared" si="1"/>
        <v>0</v>
      </c>
      <c r="T14" s="49">
        <v>1298.94113066667</v>
      </c>
      <c r="U14" s="101">
        <f t="shared" si="5"/>
        <v>1.6090028644541621E-6</v>
      </c>
      <c r="V14" s="8" t="str">
        <f t="shared" si="6"/>
        <v>4 + 2</v>
      </c>
      <c r="W14" s="15">
        <f t="shared" si="2"/>
        <v>621502.93333333486</v>
      </c>
      <c r="X14" s="60">
        <f t="shared" si="3"/>
        <v>9.5E-4</v>
      </c>
      <c r="Y14" s="26">
        <f t="shared" si="7"/>
        <v>1298.94113066667</v>
      </c>
      <c r="Z14" s="98">
        <f t="shared" si="8"/>
        <v>40.485829959514213</v>
      </c>
      <c r="AA14" s="98">
        <f t="shared" si="9"/>
        <v>1.728940190877868E-3</v>
      </c>
    </row>
    <row r="15" spans="2:27" ht="15" customHeight="1" x14ac:dyDescent="0.25">
      <c r="B15" s="37">
        <v>4</v>
      </c>
      <c r="C15" s="37">
        <v>1</v>
      </c>
      <c r="D15" s="6"/>
      <c r="E15" s="30">
        <f t="shared" si="4"/>
        <v>0</v>
      </c>
      <c r="F15" s="30">
        <f t="shared" si="0"/>
        <v>0</v>
      </c>
      <c r="G15" s="30">
        <f t="shared" si="0"/>
        <v>0</v>
      </c>
      <c r="H15" s="30">
        <f t="shared" si="0"/>
        <v>0</v>
      </c>
      <c r="I15" s="30">
        <f t="shared" si="0"/>
        <v>1</v>
      </c>
      <c r="J15" s="30">
        <f t="shared" si="0"/>
        <v>0</v>
      </c>
      <c r="K15" s="30">
        <f t="shared" si="0"/>
        <v>0</v>
      </c>
      <c r="L15" s="30">
        <f t="shared" si="0"/>
        <v>0</v>
      </c>
      <c r="M15" s="30">
        <f t="shared" si="0"/>
        <v>0</v>
      </c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99">
        <v>119.639314666667</v>
      </c>
      <c r="S15" s="100">
        <f t="shared" si="1"/>
        <v>0</v>
      </c>
      <c r="T15" s="49">
        <v>119.639314666667</v>
      </c>
      <c r="U15" s="101">
        <f t="shared" si="5"/>
        <v>3.2180057289083234E-5</v>
      </c>
      <c r="V15" s="8" t="str">
        <f t="shared" si="6"/>
        <v>4 + 1</v>
      </c>
      <c r="W15" s="15">
        <f t="shared" si="2"/>
        <v>31075.146666666755</v>
      </c>
      <c r="X15" s="60">
        <f t="shared" si="3"/>
        <v>1.7499999999999998E-3</v>
      </c>
      <c r="Y15" s="26">
        <f t="shared" si="7"/>
        <v>119.639314666667</v>
      </c>
      <c r="Z15" s="98">
        <f t="shared" si="8"/>
        <v>21.978021978022007</v>
      </c>
      <c r="AA15" s="98">
        <f t="shared" si="9"/>
        <v>6.7352219569957392E-3</v>
      </c>
    </row>
    <row r="16" spans="2:27" ht="15" customHeight="1" x14ac:dyDescent="0.25">
      <c r="B16" s="37">
        <v>4</v>
      </c>
      <c r="C16" s="37">
        <v>0</v>
      </c>
      <c r="D16" s="6"/>
      <c r="E16" s="30">
        <f t="shared" si="4"/>
        <v>0</v>
      </c>
      <c r="F16" s="30">
        <f t="shared" si="0"/>
        <v>0</v>
      </c>
      <c r="G16" s="30">
        <f t="shared" si="0"/>
        <v>0</v>
      </c>
      <c r="H16" s="30">
        <f t="shared" si="0"/>
        <v>0</v>
      </c>
      <c r="I16" s="30">
        <f t="shared" si="0"/>
        <v>0</v>
      </c>
      <c r="J16" s="30">
        <f t="shared" si="0"/>
        <v>1</v>
      </c>
      <c r="K16" s="30">
        <f t="shared" si="0"/>
        <v>0</v>
      </c>
      <c r="L16" s="30">
        <f t="shared" si="0"/>
        <v>0</v>
      </c>
      <c r="M16" s="30">
        <f t="shared" si="0"/>
        <v>0</v>
      </c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99">
        <v>39.499964207407402</v>
      </c>
      <c r="S16" s="100">
        <f t="shared" si="1"/>
        <v>0</v>
      </c>
      <c r="T16" s="49">
        <v>39.499964207407402</v>
      </c>
      <c r="U16" s="101">
        <f t="shared" si="5"/>
        <v>7.2405128900437316E-5</v>
      </c>
      <c r="V16" s="8" t="str">
        <f t="shared" si="6"/>
        <v>4</v>
      </c>
      <c r="W16" s="15">
        <f t="shared" si="2"/>
        <v>13811.176296296328</v>
      </c>
      <c r="X16" s="60">
        <f t="shared" si="3"/>
        <v>1.2999999999999969E-3</v>
      </c>
      <c r="Y16" s="26">
        <f t="shared" si="7"/>
        <v>39.499964207407402</v>
      </c>
      <c r="Z16" s="98">
        <f t="shared" si="8"/>
        <v>29.58579881656815</v>
      </c>
      <c r="AA16" s="98">
        <f t="shared" si="9"/>
        <v>6.1277754939250842E-3</v>
      </c>
    </row>
    <row r="17" spans="2:27" ht="15" customHeight="1" x14ac:dyDescent="0.25">
      <c r="B17" s="37">
        <v>3</v>
      </c>
      <c r="C17" s="37">
        <v>2</v>
      </c>
      <c r="D17" s="6"/>
      <c r="E17" s="30">
        <f t="shared" si="4"/>
        <v>0</v>
      </c>
      <c r="F17" s="30">
        <f t="shared" si="0"/>
        <v>0</v>
      </c>
      <c r="G17" s="30">
        <f t="shared" si="0"/>
        <v>0</v>
      </c>
      <c r="H17" s="30">
        <f t="shared" si="0"/>
        <v>0</v>
      </c>
      <c r="I17" s="30">
        <f t="shared" si="0"/>
        <v>0</v>
      </c>
      <c r="J17" s="30">
        <f t="shared" si="0"/>
        <v>0</v>
      </c>
      <c r="K17" s="30">
        <f t="shared" si="0"/>
        <v>1</v>
      </c>
      <c r="L17" s="30">
        <f t="shared" si="0"/>
        <v>0</v>
      </c>
      <c r="M17" s="30">
        <f t="shared" si="0"/>
        <v>0</v>
      </c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99">
        <v>57.489021333333298</v>
      </c>
      <c r="S17" s="100">
        <f t="shared" si="1"/>
        <v>0</v>
      </c>
      <c r="T17" s="49">
        <v>57.489021333333298</v>
      </c>
      <c r="U17" s="101">
        <f t="shared" si="5"/>
        <v>7.0796126035983317E-5</v>
      </c>
      <c r="V17" s="9" t="str">
        <f t="shared" si="6"/>
        <v>3 + 2</v>
      </c>
      <c r="W17" s="16">
        <f t="shared" si="2"/>
        <v>14125.066666666666</v>
      </c>
      <c r="X17" s="61">
        <f t="shared" si="3"/>
        <v>1.849999999999999E-3</v>
      </c>
      <c r="Y17" s="27">
        <f t="shared" si="7"/>
        <v>57.489021333333298</v>
      </c>
      <c r="Z17" s="98">
        <f t="shared" si="8"/>
        <v>20.790020790020826</v>
      </c>
      <c r="AA17" s="98">
        <f t="shared" si="9"/>
        <v>8.6714407748073648E-3</v>
      </c>
    </row>
    <row r="18" spans="2:27" ht="15" customHeight="1" x14ac:dyDescent="0.25">
      <c r="B18" s="37">
        <v>3</v>
      </c>
      <c r="C18" s="37">
        <v>1</v>
      </c>
      <c r="D18" s="6"/>
      <c r="E18" s="30">
        <f t="shared" si="4"/>
        <v>0</v>
      </c>
      <c r="F18" s="30">
        <f t="shared" si="0"/>
        <v>0</v>
      </c>
      <c r="G18" s="30">
        <f t="shared" si="0"/>
        <v>0</v>
      </c>
      <c r="H18" s="30">
        <f t="shared" si="0"/>
        <v>0</v>
      </c>
      <c r="I18" s="30">
        <f t="shared" si="0"/>
        <v>0</v>
      </c>
      <c r="J18" s="30">
        <f t="shared" si="0"/>
        <v>0</v>
      </c>
      <c r="K18" s="30">
        <f t="shared" si="0"/>
        <v>0</v>
      </c>
      <c r="L18" s="30">
        <f t="shared" si="0"/>
        <v>1</v>
      </c>
      <c r="M18" s="30">
        <f t="shared" si="0"/>
        <v>0</v>
      </c>
      <c r="N18" s="30">
        <f t="shared" si="0"/>
        <v>0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99">
        <v>11.2647406666667</v>
      </c>
      <c r="S18" s="100">
        <f t="shared" si="1"/>
        <v>0</v>
      </c>
      <c r="T18" s="49">
        <v>11.2647406666667</v>
      </c>
      <c r="U18" s="101">
        <f t="shared" si="5"/>
        <v>1.415922520719666E-3</v>
      </c>
      <c r="V18" s="9" t="str">
        <f t="shared" si="6"/>
        <v>3 + 1</v>
      </c>
      <c r="W18" s="16">
        <f t="shared" si="2"/>
        <v>706.25333333333344</v>
      </c>
      <c r="X18" s="61">
        <f t="shared" si="3"/>
        <v>7.2500000000000194E-3</v>
      </c>
      <c r="Y18" s="27">
        <f t="shared" si="7"/>
        <v>11.2647406666667</v>
      </c>
      <c r="Z18" s="98">
        <f t="shared" si="8"/>
        <v>5.3050397877984006</v>
      </c>
      <c r="AA18" s="98">
        <f t="shared" si="9"/>
        <v>7.1864604418739278E-2</v>
      </c>
    </row>
    <row r="19" spans="2:27" ht="15" customHeight="1" x14ac:dyDescent="0.25">
      <c r="B19" s="37">
        <v>3</v>
      </c>
      <c r="C19" s="37">
        <v>0</v>
      </c>
      <c r="D19" s="6"/>
      <c r="E19" s="30">
        <f t="shared" si="4"/>
        <v>0</v>
      </c>
      <c r="F19" s="30">
        <f t="shared" si="0"/>
        <v>0</v>
      </c>
      <c r="G19" s="30">
        <f t="shared" si="0"/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  <c r="K19" s="30">
        <f t="shared" si="0"/>
        <v>0</v>
      </c>
      <c r="L19" s="30">
        <f t="shared" si="0"/>
        <v>0</v>
      </c>
      <c r="M19" s="30">
        <f t="shared" si="0"/>
        <v>1</v>
      </c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99">
        <v>9.3225440000000006</v>
      </c>
      <c r="S19" s="100">
        <f t="shared" si="1"/>
        <v>0</v>
      </c>
      <c r="T19" s="49">
        <v>9.3225440000000006</v>
      </c>
      <c r="U19" s="101">
        <f t="shared" si="5"/>
        <v>3.1858256716192496E-3</v>
      </c>
      <c r="V19" s="9" t="str">
        <f t="shared" si="6"/>
        <v>3</v>
      </c>
      <c r="W19" s="16">
        <f t="shared" si="2"/>
        <v>313.89037037037031</v>
      </c>
      <c r="X19" s="61">
        <f t="shared" si="3"/>
        <v>1.3500000000000002E-2</v>
      </c>
      <c r="Y19" s="27">
        <f t="shared" si="7"/>
        <v>9.3225440000000006</v>
      </c>
      <c r="Z19" s="98">
        <f t="shared" si="8"/>
        <v>2.8490028490028521</v>
      </c>
      <c r="AA19" s="98">
        <f t="shared" si="9"/>
        <v>0.13500000492671213</v>
      </c>
    </row>
    <row r="20" spans="2:27" ht="15" customHeight="1" x14ac:dyDescent="0.25">
      <c r="B20" s="37">
        <v>2</v>
      </c>
      <c r="C20" s="37">
        <v>2</v>
      </c>
      <c r="D20" s="6"/>
      <c r="E20" s="30">
        <f t="shared" si="4"/>
        <v>0</v>
      </c>
      <c r="F20" s="30">
        <f t="shared" si="0"/>
        <v>0</v>
      </c>
      <c r="G20" s="30">
        <f t="shared" si="0"/>
        <v>0</v>
      </c>
      <c r="H20" s="30">
        <f t="shared" si="0"/>
        <v>0</v>
      </c>
      <c r="I20" s="30">
        <f t="shared" si="0"/>
        <v>0</v>
      </c>
      <c r="J20" s="30">
        <f t="shared" si="0"/>
        <v>0</v>
      </c>
      <c r="K20" s="30">
        <f t="shared" si="0"/>
        <v>0</v>
      </c>
      <c r="L20" s="30">
        <f t="shared" si="0"/>
        <v>0</v>
      </c>
      <c r="M20" s="30">
        <f t="shared" si="0"/>
        <v>0</v>
      </c>
      <c r="N20" s="30">
        <f t="shared" si="0"/>
        <v>1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99">
        <v>14.092217674418601</v>
      </c>
      <c r="S20" s="100">
        <f t="shared" si="1"/>
        <v>0</v>
      </c>
      <c r="T20" s="49">
        <v>14.092217674418601</v>
      </c>
      <c r="U20" s="101">
        <f t="shared" si="5"/>
        <v>1.0147444731824279E-3</v>
      </c>
      <c r="V20" s="10" t="str">
        <f t="shared" si="6"/>
        <v>2 + 2</v>
      </c>
      <c r="W20" s="17">
        <f t="shared" si="2"/>
        <v>985.46976744186009</v>
      </c>
      <c r="X20" s="62">
        <f t="shared" si="3"/>
        <v>6.5000000000000006E-3</v>
      </c>
      <c r="Y20" s="28">
        <f t="shared" si="7"/>
        <v>14.092217674418601</v>
      </c>
      <c r="Z20" s="98">
        <f t="shared" si="8"/>
        <v>5.9171597633136157</v>
      </c>
      <c r="AA20" s="98">
        <f t="shared" si="9"/>
        <v>5.9281569156318749E-2</v>
      </c>
    </row>
    <row r="21" spans="2:27" ht="15" customHeight="1" x14ac:dyDescent="0.25">
      <c r="B21" s="37">
        <v>2</v>
      </c>
      <c r="C21" s="37">
        <v>1</v>
      </c>
      <c r="D21" s="6"/>
      <c r="E21" s="30">
        <f t="shared" si="4"/>
        <v>0</v>
      </c>
      <c r="F21" s="30">
        <f t="shared" si="0"/>
        <v>0</v>
      </c>
      <c r="G21" s="30">
        <f t="shared" si="0"/>
        <v>0</v>
      </c>
      <c r="H21" s="30">
        <f t="shared" si="0"/>
        <v>0</v>
      </c>
      <c r="I21" s="30">
        <f t="shared" si="0"/>
        <v>0</v>
      </c>
      <c r="J21" s="30">
        <f t="shared" si="0"/>
        <v>0</v>
      </c>
      <c r="K21" s="30">
        <f t="shared" si="0"/>
        <v>0</v>
      </c>
      <c r="L21" s="30">
        <f t="shared" si="0"/>
        <v>0</v>
      </c>
      <c r="M21" s="30">
        <f t="shared" si="0"/>
        <v>0</v>
      </c>
      <c r="N21" s="30">
        <f t="shared" si="0"/>
        <v>0</v>
      </c>
      <c r="O21" s="30">
        <f t="shared" si="0"/>
        <v>1</v>
      </c>
      <c r="P21" s="30">
        <f t="shared" si="0"/>
        <v>0</v>
      </c>
      <c r="Q21" s="30">
        <f t="shared" si="0"/>
        <v>0</v>
      </c>
      <c r="R21" s="99">
        <v>5.5826862325581397</v>
      </c>
      <c r="S21" s="100">
        <f t="shared" si="1"/>
        <v>0</v>
      </c>
      <c r="T21" s="49">
        <v>5.5826862325581397</v>
      </c>
      <c r="U21" s="101">
        <f t="shared" si="5"/>
        <v>2.029488946364855E-2</v>
      </c>
      <c r="V21" s="10" t="str">
        <f t="shared" si="6"/>
        <v>2 + 1</v>
      </c>
      <c r="W21" s="17">
        <f t="shared" si="2"/>
        <v>49.27348837209302</v>
      </c>
      <c r="X21" s="62">
        <f t="shared" si="3"/>
        <v>5.1500000000000004E-2</v>
      </c>
      <c r="Y21" s="28">
        <f t="shared" si="7"/>
        <v>5.5826862325581397</v>
      </c>
      <c r="Z21" s="98">
        <f t="shared" si="8"/>
        <v>1.3389999999999986</v>
      </c>
      <c r="AA21" s="98">
        <f t="shared" si="9"/>
        <v>0.51500001879449442</v>
      </c>
    </row>
    <row r="22" spans="2:27" ht="15" customHeight="1" x14ac:dyDescent="0.25">
      <c r="B22" s="37">
        <v>2</v>
      </c>
      <c r="C22" s="37">
        <v>0</v>
      </c>
      <c r="D22" s="6"/>
      <c r="E22" s="30">
        <f t="shared" si="4"/>
        <v>0</v>
      </c>
      <c r="F22" s="30">
        <f t="shared" si="0"/>
        <v>0</v>
      </c>
      <c r="G22" s="30">
        <f t="shared" si="0"/>
        <v>0</v>
      </c>
      <c r="H22" s="30">
        <f t="shared" si="0"/>
        <v>0</v>
      </c>
      <c r="I22" s="30">
        <f t="shared" si="0"/>
        <v>0</v>
      </c>
      <c r="J22" s="30">
        <f t="shared" si="0"/>
        <v>0</v>
      </c>
      <c r="K22" s="30">
        <f t="shared" si="0"/>
        <v>0</v>
      </c>
      <c r="L22" s="30">
        <f t="shared" si="0"/>
        <v>0</v>
      </c>
      <c r="M22" s="30">
        <f t="shared" si="0"/>
        <v>0</v>
      </c>
      <c r="N22" s="30">
        <f t="shared" si="0"/>
        <v>0</v>
      </c>
      <c r="O22" s="30">
        <f t="shared" si="0"/>
        <v>0</v>
      </c>
      <c r="P22" s="30">
        <f t="shared" si="0"/>
        <v>1</v>
      </c>
      <c r="Q22" s="30">
        <f t="shared" si="0"/>
        <v>0</v>
      </c>
      <c r="R22" s="99">
        <v>3.9964083968992301</v>
      </c>
      <c r="S22" s="100">
        <f t="shared" si="1"/>
        <v>0</v>
      </c>
      <c r="T22" s="49">
        <v>3.9964083968992301</v>
      </c>
      <c r="U22" s="101">
        <f t="shared" si="5"/>
        <v>4.5663501293209258E-2</v>
      </c>
      <c r="V22" s="10" t="str">
        <f t="shared" si="6"/>
        <v>2</v>
      </c>
      <c r="W22" s="17">
        <f t="shared" si="2"/>
        <v>21.899328165374666</v>
      </c>
      <c r="X22" s="62">
        <f t="shared" si="3"/>
        <v>8.2950000000000149E-2</v>
      </c>
      <c r="Y22" s="28">
        <f t="shared" si="7"/>
        <v>3.9964083968992301</v>
      </c>
      <c r="Z22" s="98">
        <f t="shared" si="8"/>
        <v>2.1567000000000016</v>
      </c>
      <c r="AA22" s="98">
        <f t="shared" si="9"/>
        <v>0.82950003027191044</v>
      </c>
    </row>
    <row r="23" spans="2:27" ht="15" customHeight="1" x14ac:dyDescent="0.25">
      <c r="B23" s="37">
        <v>1</v>
      </c>
      <c r="C23" s="37">
        <v>2</v>
      </c>
      <c r="D23" s="6"/>
      <c r="E23" s="30">
        <f t="shared" si="4"/>
        <v>0</v>
      </c>
      <c r="F23" s="30">
        <f t="shared" si="0"/>
        <v>0</v>
      </c>
      <c r="G23" s="30">
        <f t="shared" si="0"/>
        <v>0</v>
      </c>
      <c r="H23" s="30">
        <f t="shared" si="0"/>
        <v>0</v>
      </c>
      <c r="I23" s="30">
        <f t="shared" si="0"/>
        <v>0</v>
      </c>
      <c r="J23" s="30">
        <f t="shared" si="0"/>
        <v>0</v>
      </c>
      <c r="K23" s="30">
        <f t="shared" si="0"/>
        <v>0</v>
      </c>
      <c r="L23" s="30">
        <f t="shared" si="0"/>
        <v>0</v>
      </c>
      <c r="M23" s="30">
        <f t="shared" si="0"/>
        <v>0</v>
      </c>
      <c r="N23" s="30">
        <f t="shared" si="0"/>
        <v>0</v>
      </c>
      <c r="O23" s="30">
        <f t="shared" si="0"/>
        <v>0</v>
      </c>
      <c r="P23" s="30">
        <f t="shared" si="0"/>
        <v>0</v>
      </c>
      <c r="Q23" s="30">
        <f t="shared" si="0"/>
        <v>1</v>
      </c>
      <c r="R23" s="99">
        <v>6.7518757209302303</v>
      </c>
      <c r="S23" s="100">
        <f t="shared" si="1"/>
        <v>0</v>
      </c>
      <c r="T23" s="49">
        <v>6.7518757209302303</v>
      </c>
      <c r="U23" s="101">
        <f t="shared" si="5"/>
        <v>5.3274084842077421E-3</v>
      </c>
      <c r="V23" s="11" t="str">
        <f t="shared" si="6"/>
        <v>1 + 2</v>
      </c>
      <c r="W23" s="18">
        <f t="shared" si="2"/>
        <v>187.70852713178303</v>
      </c>
      <c r="X23" s="63">
        <f t="shared" si="3"/>
        <v>1.6349999999999986E-2</v>
      </c>
      <c r="Y23" s="31">
        <f t="shared" si="7"/>
        <v>6.7518757209302303</v>
      </c>
      <c r="Z23" s="98">
        <f t="shared" si="8"/>
        <v>2.3523876734885958</v>
      </c>
      <c r="AA23" s="98">
        <f t="shared" si="9"/>
        <v>0.16350000596679565</v>
      </c>
    </row>
    <row r="24" spans="2:27" ht="15" customHeight="1" x14ac:dyDescent="0.25">
      <c r="V24" s="12" t="s">
        <v>8</v>
      </c>
      <c r="W24" s="19">
        <f>IFERROR(1/SUM(U11:U23),"")</f>
        <v>12.973575362722613</v>
      </c>
      <c r="X24" s="58">
        <f>IF(SUM(X11:X23)=0,"",SUM(X11:X23))</f>
        <v>0.50000000000000056</v>
      </c>
      <c r="Y24" s="20">
        <f>IFERROR(Y9*X24,"")</f>
        <v>1.1000000000000014</v>
      </c>
      <c r="AA24" s="98"/>
    </row>
    <row r="25" spans="2:27" ht="15" customHeight="1" x14ac:dyDescent="0.25">
      <c r="V25" s="13"/>
      <c r="W25" s="13"/>
      <c r="X25" s="101">
        <f>IFERROR(AVERAGE(X11:X23),"")</f>
        <v>3.8461538461538505E-2</v>
      </c>
      <c r="Y25" s="13"/>
      <c r="Z25" s="98">
        <f>IFERROR(AVERAGE(Z11:Z23),"")</f>
        <v>12.008965109498176</v>
      </c>
      <c r="AA25" s="98">
        <f>IF(SUM(AA11:AA23)=0,"",SUM(AA11:AA23))</f>
        <v>1.9550615496646662</v>
      </c>
    </row>
    <row r="26" spans="2:27" ht="15" customHeight="1" x14ac:dyDescent="0.25"/>
    <row r="27" spans="2:27" ht="15" customHeight="1" x14ac:dyDescent="0.25">
      <c r="B27" s="39" t="s">
        <v>36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2:27" ht="15" customHeight="1" x14ac:dyDescent="0.25">
      <c r="B28" s="39" t="s">
        <v>35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</row>
    <row r="29" spans="2:27" ht="15" customHeight="1" thickBot="1" x14ac:dyDescent="0.3"/>
    <row r="30" spans="2:27" ht="15" customHeight="1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2:27" ht="15" customHeight="1" x14ac:dyDescent="0.25">
      <c r="B31" s="74" t="s">
        <v>11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</row>
    <row r="32" spans="2:27" ht="7.5" customHeight="1" x14ac:dyDescent="0.25">
      <c r="B32"/>
      <c r="C32"/>
      <c r="D32"/>
      <c r="E32"/>
      <c r="F32"/>
      <c r="G32"/>
      <c r="H32"/>
      <c r="I32"/>
    </row>
    <row r="33" spans="2:25" ht="15" customHeight="1" x14ac:dyDescent="0.25">
      <c r="B33" s="75" t="s">
        <v>12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</row>
  </sheetData>
  <sheetProtection algorithmName="SHA-512" hashValue="YDjIuidXpFhZTVU0Rqy3eyjcRJ5nC+FNPxJupoFXZum9Fgupt8UA90SS7Ji7t8URjFpgdN83+bjRos5OBIE6SA==" saltValue="ht/s+YYdCIADABQek6z9lw==" spinCount="100000" sheet="1" objects="1" scenarios="1" selectLockedCells="1"/>
  <mergeCells count="18">
    <mergeCell ref="B2:H2"/>
    <mergeCell ref="B3:H3"/>
    <mergeCell ref="B4:H4"/>
    <mergeCell ref="B5:H5"/>
    <mergeCell ref="V2:X2"/>
    <mergeCell ref="V3:X3"/>
    <mergeCell ref="V4:X4"/>
    <mergeCell ref="I2:J2"/>
    <mergeCell ref="I3:J3"/>
    <mergeCell ref="I4:J4"/>
    <mergeCell ref="I5:J5"/>
    <mergeCell ref="V5:X5"/>
    <mergeCell ref="B31:Y31"/>
    <mergeCell ref="B33:Y33"/>
    <mergeCell ref="B8:C9"/>
    <mergeCell ref="V8:W8"/>
    <mergeCell ref="V9:W9"/>
    <mergeCell ref="T9:T10"/>
  </mergeCells>
  <conditionalFormatting sqref="X24">
    <cfRule type="cellIs" dxfId="47" priority="44" stopIfTrue="1" operator="greaterThanOrEqual">
      <formula>0.6</formula>
    </cfRule>
    <cfRule type="cellIs" dxfId="46" priority="45" stopIfTrue="1" operator="greaterThanOrEqual">
      <formula>0.4</formula>
    </cfRule>
    <cfRule type="cellIs" dxfId="45" priority="46" stopIfTrue="1" operator="lessThan">
      <formula>0.4</formula>
    </cfRule>
  </conditionalFormatting>
  <conditionalFormatting sqref="E11:Q23">
    <cfRule type="expression" dxfId="44" priority="26">
      <formula>IF(AND(E11&gt;0,E11&lt;1000000000),TRUE,FALSE)</formula>
    </cfRule>
    <cfRule type="expression" dxfId="43" priority="37">
      <formula>IF(E11=0,TRUE,FALSE)</formula>
    </cfRule>
  </conditionalFormatting>
  <conditionalFormatting sqref="E11:Q23">
    <cfRule type="expression" dxfId="42" priority="38">
      <formula>IF(E11&gt;=1000000,TRUE,FALSE)</formula>
    </cfRule>
  </conditionalFormatting>
  <conditionalFormatting sqref="I4">
    <cfRule type="expression" dxfId="41" priority="19">
      <formula>IF(I4="",FALSE,IF(OR(I4&lt;1,I4&gt;1000000),TRUE,FALSE))</formula>
    </cfRule>
  </conditionalFormatting>
  <conditionalFormatting sqref="I5">
    <cfRule type="expression" dxfId="40" priority="18">
      <formula>IF(I5="",FALSE,IF(OR(I5&lt;0.01,I5&gt;100),TRUE,FALSE))</formula>
    </cfRule>
  </conditionalFormatting>
  <conditionalFormatting sqref="I3">
    <cfRule type="expression" dxfId="39" priority="17">
      <formula>IF(I3="",FALSE,IF(OR(I3&lt;M3,I3&gt;L3),TRUE,FALSE))</formula>
    </cfRule>
  </conditionalFormatting>
  <conditionalFormatting sqref="I2">
    <cfRule type="expression" dxfId="38" priority="16">
      <formula>IF(I2="",FALSE,IF(OR(I2&lt;M2,I2&gt;L2),TRUE,FALSE))</formula>
    </cfRule>
  </conditionalFormatting>
  <conditionalFormatting sqref="Y9">
    <cfRule type="expression" dxfId="37" priority="4">
      <formula>IF(Y9&gt;=99999999.5,TRUE,FALSE)</formula>
    </cfRule>
    <cfRule type="expression" dxfId="36" priority="5">
      <formula>IF(Y9&gt;=99999.95,TRUE,FALSE)</formula>
    </cfRule>
    <cfRule type="expression" dxfId="35" priority="6">
      <formula>IF(Y9&gt;=9999.995,TRUE,FALSE)</formula>
    </cfRule>
  </conditionalFormatting>
  <conditionalFormatting sqref="X11:X24">
    <cfRule type="expression" dxfId="34" priority="2">
      <formula>IF(X11&gt;=100,TRUE,FALSE)</formula>
    </cfRule>
    <cfRule type="expression" dxfId="33" priority="3">
      <formula>IF(X11&gt;=10,TRUE,FALSE)</formula>
    </cfRule>
  </conditionalFormatting>
  <conditionalFormatting sqref="T11:T23">
    <cfRule type="expression" dxfId="32" priority="1">
      <formula>IF(T11="",FALSE,IF(OR(T11&lt;R11/100,T11&gt;R11*100),TRUE,FALSE))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1"/>
  <sheetViews>
    <sheetView showGridLines="0" workbookViewId="0">
      <selection activeCell="I3" sqref="I3:J3"/>
    </sheetView>
  </sheetViews>
  <sheetFormatPr baseColWidth="10" defaultRowHeight="14.25" x14ac:dyDescent="0.25"/>
  <cols>
    <col min="1" max="1" width="2.85546875" style="1" customWidth="1"/>
    <col min="2" max="3" width="6.28515625" style="1" customWidth="1"/>
    <col min="4" max="4" width="4.28515625" style="1" customWidth="1"/>
    <col min="5" max="12" width="6.28515625" style="1" customWidth="1"/>
    <col min="13" max="14" width="2.140625" style="1" customWidth="1"/>
    <col min="15" max="15" width="17" style="1" customWidth="1"/>
    <col min="16" max="16" width="4.28515625" style="1" customWidth="1"/>
    <col min="17" max="17" width="8.85546875" style="1" customWidth="1"/>
    <col min="18" max="18" width="14.28515625" style="1" customWidth="1"/>
    <col min="19" max="19" width="8.28515625" style="1" customWidth="1"/>
    <col min="20" max="20" width="14.85546875" style="1" customWidth="1"/>
    <col min="21" max="24" width="6.28515625" style="1" customWidth="1"/>
    <col min="25" max="16384" width="11.42578125" style="1"/>
  </cols>
  <sheetData>
    <row r="1" spans="2:22" ht="15" customHeight="1" x14ac:dyDescent="0.25"/>
    <row r="2" spans="2:22" ht="15" customHeight="1" x14ac:dyDescent="0.25">
      <c r="Q2" s="89" t="s">
        <v>13</v>
      </c>
      <c r="R2" s="90"/>
      <c r="S2" s="91"/>
      <c r="T2" s="51">
        <f>IFERROR(V23,"")</f>
        <v>2.6336246705985342</v>
      </c>
    </row>
    <row r="3" spans="2:22" ht="15" customHeight="1" x14ac:dyDescent="0.25">
      <c r="B3" s="89" t="str">
        <f>CONCATENATE("Anzahl Normalzahlen (",K3,") im Vollsystem:")</f>
        <v>Anzahl Normalzahlen (NZ) im Vollsystem:</v>
      </c>
      <c r="C3" s="90"/>
      <c r="D3" s="90"/>
      <c r="E3" s="84"/>
      <c r="F3" s="90"/>
      <c r="G3" s="90"/>
      <c r="H3" s="91"/>
      <c r="I3" s="92">
        <v>6</v>
      </c>
      <c r="J3" s="93"/>
      <c r="K3" s="96" t="s">
        <v>0</v>
      </c>
      <c r="L3" s="96">
        <v>45</v>
      </c>
      <c r="M3" s="96">
        <v>6</v>
      </c>
      <c r="N3" s="97" t="s">
        <v>29</v>
      </c>
      <c r="Q3" s="89" t="s">
        <v>10</v>
      </c>
      <c r="R3" s="90"/>
      <c r="S3" s="91"/>
      <c r="T3" s="35">
        <f>IFERROR(U23,"")</f>
        <v>2.5442343450681895</v>
      </c>
    </row>
    <row r="4" spans="2:22" ht="15" customHeight="1" x14ac:dyDescent="0.25">
      <c r="B4" s="89" t="s">
        <v>14</v>
      </c>
      <c r="C4" s="90"/>
      <c r="D4" s="90"/>
      <c r="E4" s="87"/>
      <c r="F4" s="90"/>
      <c r="G4" s="90"/>
      <c r="H4" s="91"/>
      <c r="I4" s="92">
        <v>1</v>
      </c>
      <c r="J4" s="93"/>
      <c r="Q4" s="89" t="s">
        <v>9</v>
      </c>
      <c r="R4" s="90"/>
      <c r="S4" s="91"/>
      <c r="T4" s="36">
        <f>IFERROR(1/R22,"")</f>
        <v>8.5459407297183862E-2</v>
      </c>
    </row>
    <row r="5" spans="2:22" ht="15" customHeight="1" x14ac:dyDescent="0.25">
      <c r="B5" s="89" t="s">
        <v>15</v>
      </c>
      <c r="C5" s="90"/>
      <c r="D5" s="90"/>
      <c r="E5" s="90"/>
      <c r="F5" s="90"/>
      <c r="G5" s="90"/>
      <c r="H5" s="91"/>
      <c r="I5" s="94">
        <v>1.3</v>
      </c>
      <c r="J5" s="95"/>
      <c r="Q5" s="89" t="s">
        <v>34</v>
      </c>
      <c r="R5" s="90"/>
      <c r="S5" s="91"/>
      <c r="T5" s="36">
        <f>IFERROR(IF(T8="","",SUMIF(T11:T21,"&gt;"&amp;T9,P11:P21)),"")</f>
        <v>2.3834078570323651E-2</v>
      </c>
    </row>
    <row r="6" spans="2:22" ht="15" customHeight="1" x14ac:dyDescent="0.25">
      <c r="O6" s="96"/>
    </row>
    <row r="7" spans="2:22" ht="15" customHeight="1" x14ac:dyDescent="0.25"/>
    <row r="8" spans="2:22" ht="15" customHeight="1" x14ac:dyDescent="0.25">
      <c r="B8" s="80" t="s">
        <v>1</v>
      </c>
      <c r="C8" s="80"/>
      <c r="D8" s="2" t="str">
        <f>K3</f>
        <v>NZ</v>
      </c>
      <c r="E8" s="37">
        <v>6</v>
      </c>
      <c r="F8" s="37">
        <v>5</v>
      </c>
      <c r="G8" s="37">
        <v>5</v>
      </c>
      <c r="H8" s="37">
        <v>4</v>
      </c>
      <c r="I8" s="37">
        <v>4</v>
      </c>
      <c r="J8" s="37">
        <v>3</v>
      </c>
      <c r="K8" s="37">
        <v>3</v>
      </c>
      <c r="L8" s="37">
        <v>0</v>
      </c>
      <c r="O8" s="41" t="str">
        <f>$N$3</f>
        <v>LOTTO 6aus45</v>
      </c>
      <c r="Q8" s="76" t="str">
        <f>IFERROR(IF(OR($I$3&gt;$L$3,$I$3&lt;$M$3),$N$3,CONCATENATE($N$3," (",$I$3,")")),"")</f>
        <v>LOTTO 6aus45 (6)</v>
      </c>
      <c r="R8" s="77"/>
      <c r="S8" s="32">
        <f>IFERROR(IF(OR($I$4&lt;1,$I$4&gt;1000000),"",$I$4),"")</f>
        <v>1</v>
      </c>
      <c r="T8" s="24">
        <f>IFERROR(IF(OR($I$3&gt;$L$3,$I$3&lt;$M$3),"",COMBIN($I$3,$M$3)),"")</f>
        <v>1</v>
      </c>
      <c r="U8" s="98"/>
      <c r="V8" s="98"/>
    </row>
    <row r="9" spans="2:22" ht="15" customHeight="1" x14ac:dyDescent="0.25">
      <c r="B9" s="80"/>
      <c r="C9" s="80"/>
      <c r="D9" s="2" t="str">
        <f>C10</f>
        <v>ZZ</v>
      </c>
      <c r="E9" s="37">
        <v>0</v>
      </c>
      <c r="F9" s="37">
        <v>1</v>
      </c>
      <c r="G9" s="37">
        <v>0</v>
      </c>
      <c r="H9" s="37">
        <v>1</v>
      </c>
      <c r="I9" s="37">
        <v>0</v>
      </c>
      <c r="J9" s="37">
        <v>1</v>
      </c>
      <c r="K9" s="37">
        <v>0</v>
      </c>
      <c r="L9" s="37">
        <v>1</v>
      </c>
      <c r="O9" s="81" t="s">
        <v>17</v>
      </c>
      <c r="Q9" s="78" t="str">
        <f>CONCATENATE($M$3,"+1 aus ",$L$3)</f>
        <v>6+1 aus 45</v>
      </c>
      <c r="R9" s="79"/>
      <c r="S9" s="33" t="str">
        <f>IF(S8=1,"Anteil","Anteile")</f>
        <v>Anteil</v>
      </c>
      <c r="T9" s="40">
        <f>IFERROR(IF(OR($I$5&lt;0.01,$I$5&gt;100),"",T8*$I$5/S8),"")</f>
        <v>1.3</v>
      </c>
      <c r="U9" s="98"/>
      <c r="V9" s="98"/>
    </row>
    <row r="10" spans="2:22" ht="15" customHeight="1" x14ac:dyDescent="0.25">
      <c r="B10" s="3" t="str">
        <f>K3</f>
        <v>NZ</v>
      </c>
      <c r="C10" s="3" t="s">
        <v>30</v>
      </c>
      <c r="D10" s="4"/>
      <c r="E10" s="5"/>
      <c r="F10" s="5"/>
      <c r="G10" s="5"/>
      <c r="H10" s="5"/>
      <c r="I10" s="5"/>
      <c r="J10" s="5"/>
      <c r="K10" s="5"/>
      <c r="L10" s="5"/>
      <c r="O10" s="82"/>
      <c r="Q10" s="21" t="s">
        <v>4</v>
      </c>
      <c r="R10" s="21" t="s">
        <v>5</v>
      </c>
      <c r="S10" s="21" t="s">
        <v>6</v>
      </c>
      <c r="T10" s="21" t="s">
        <v>7</v>
      </c>
      <c r="U10" s="98"/>
      <c r="V10" s="98"/>
    </row>
    <row r="11" spans="2:22" ht="15" customHeight="1" x14ac:dyDescent="0.25">
      <c r="B11" s="37">
        <v>6</v>
      </c>
      <c r="C11" s="37">
        <v>1</v>
      </c>
      <c r="D11" s="6"/>
      <c r="E11" s="30">
        <f>IFERROR(IF(OR($I$3&gt;=$L$3-$M$3+$B11+$C11,E$9&gt;$C11),0,COMBIN($I$3-$B11-$C11,$M$3-E$8-E$9)*COMBIN($B11,E$8)),0)</f>
        <v>0</v>
      </c>
      <c r="F11" s="30">
        <f t="shared" ref="F11:L11" si="0">IFERROR(IF(OR($I$3&gt;=$L$3-$M$3+$B11+$C11,F$9&gt;$C11),0,COMBIN($I$3-$B11-$C11,$M$3-F$8-F$9)*COMBIN($B11,F$8)),0)</f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99"/>
      <c r="N11" s="100"/>
      <c r="O11" s="68" t="s">
        <v>31</v>
      </c>
      <c r="P11" s="101" t="str">
        <f>IFERROR(IF(T11=0,0,1/R11),"")</f>
        <v/>
      </c>
      <c r="Q11" s="7" t="str">
        <f>CONCATENATE($B11,IF($C11=1,CONCATENATE(" + ",$C$10),""))</f>
        <v>6 + ZZ</v>
      </c>
      <c r="R11" s="14" t="str">
        <f t="shared" ref="R11:R21" si="1">IFERROR(IF(OR(T$8="",SUM($E11:$L11)=0,SUM(N$11:N$30)&gt;0),"",1/(HYPGEOMDIST($B11,$I$3,$M$3,$L$3)*HYPGEOMDIST($C11,$I$3-$B11,1,$L$3-$M$3))),"")</f>
        <v/>
      </c>
      <c r="S11" s="52" t="str">
        <f t="shared" ref="S11:S21" si="2">IFERROR(T11/R11/T$9,"")</f>
        <v/>
      </c>
      <c r="T11" s="25" t="str">
        <f t="shared" ref="T11:T20" si="3">IFERROR(IF(OR(T$8="",R11="",SUM(N$11:N$30)&gt;0),"",(O$12*$E11+O$13*$F11+O$14*$G11+O$15*$H11+O$16*$I11+O$17*$J11+O$18*$K11+O$21*$L11)/S$8),"")</f>
        <v/>
      </c>
      <c r="U11" s="98" t="str">
        <f t="shared" ref="U11:U21" si="4">IFERROR(IF(S11&lt;S$23,S$23/S11,S11/S$23),"")</f>
        <v/>
      </c>
      <c r="V11" s="98" t="str">
        <f>IFERROR(S11/IF((R11*T$9)&lt;1500,1500,R11*T$9)^0.25*62.2333,"")</f>
        <v/>
      </c>
    </row>
    <row r="12" spans="2:22" ht="15" customHeight="1" x14ac:dyDescent="0.25">
      <c r="B12" s="37">
        <v>6</v>
      </c>
      <c r="C12" s="37">
        <v>0</v>
      </c>
      <c r="D12" s="6"/>
      <c r="E12" s="30">
        <f t="shared" ref="E12:L21" si="5">IFERROR(IF(OR($I$3&gt;=$L$3-$M$3+$B12+$C12,E$9&gt;$C12),0,COMBIN($I$3-$B12-$C12,$M$3-E$8-E$9)*COMBIN($B12,E$8)),0)</f>
        <v>1</v>
      </c>
      <c r="F12" s="30">
        <f t="shared" si="5"/>
        <v>0</v>
      </c>
      <c r="G12" s="30">
        <f t="shared" si="5"/>
        <v>0</v>
      </c>
      <c r="H12" s="30">
        <f t="shared" si="5"/>
        <v>0</v>
      </c>
      <c r="I12" s="30">
        <f t="shared" si="5"/>
        <v>0</v>
      </c>
      <c r="J12" s="30">
        <f t="shared" si="5"/>
        <v>0</v>
      </c>
      <c r="K12" s="30">
        <f t="shared" si="5"/>
        <v>0</v>
      </c>
      <c r="L12" s="30">
        <f t="shared" si="5"/>
        <v>0</v>
      </c>
      <c r="M12" s="99">
        <v>1886963.1055347261</v>
      </c>
      <c r="N12" s="100">
        <f t="shared" ref="N12:N21" si="6">IF(OR(O12&lt;M12/100,O12&gt;M12*100),1,0)</f>
        <v>0</v>
      </c>
      <c r="O12" s="49">
        <f>1741812.09741667/1.2*1.3</f>
        <v>1886963.1055347261</v>
      </c>
      <c r="P12" s="101">
        <f t="shared" ref="P12:P21" si="7">IFERROR(IF(T12=0,0,1/R12),"")</f>
        <v>1.2277380399898855E-7</v>
      </c>
      <c r="Q12" s="7" t="str">
        <f t="shared" ref="Q12:Q21" si="8">CONCATENATE($B12,IF($C12=1,CONCATENATE(" + ",$C$10),""))</f>
        <v>6</v>
      </c>
      <c r="R12" s="14">
        <f t="shared" si="1"/>
        <v>8145059.999999986</v>
      </c>
      <c r="S12" s="52">
        <f t="shared" si="2"/>
        <v>0.17820741420941785</v>
      </c>
      <c r="T12" s="25">
        <f t="shared" si="3"/>
        <v>1886963.1055347261</v>
      </c>
      <c r="U12" s="98">
        <f t="shared" si="4"/>
        <v>3.0737025900129824</v>
      </c>
      <c r="V12" s="98">
        <f t="shared" ref="V12:V21" si="9">IFERROR(S12/IF((R12*T$9)&lt;1500,1500,R12*T$9)^0.25*62.2333,"")</f>
        <v>0.19441921676451543</v>
      </c>
    </row>
    <row r="13" spans="2:22" ht="15" customHeight="1" x14ac:dyDescent="0.25">
      <c r="B13" s="37">
        <v>5</v>
      </c>
      <c r="C13" s="37">
        <v>1</v>
      </c>
      <c r="D13" s="6"/>
      <c r="E13" s="30">
        <f t="shared" si="5"/>
        <v>0</v>
      </c>
      <c r="F13" s="30">
        <f t="shared" si="5"/>
        <v>1</v>
      </c>
      <c r="G13" s="30">
        <f t="shared" si="5"/>
        <v>0</v>
      </c>
      <c r="H13" s="30">
        <f t="shared" si="5"/>
        <v>0</v>
      </c>
      <c r="I13" s="30">
        <f t="shared" si="5"/>
        <v>0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99">
        <v>46505.034575999998</v>
      </c>
      <c r="N13" s="100">
        <f t="shared" si="6"/>
        <v>0</v>
      </c>
      <c r="O13" s="49">
        <v>46505.034575999998</v>
      </c>
      <c r="P13" s="101">
        <f t="shared" si="7"/>
        <v>7.3664282399393046E-7</v>
      </c>
      <c r="Q13" s="8" t="str">
        <f t="shared" si="8"/>
        <v>5 + ZZ</v>
      </c>
      <c r="R13" s="15">
        <f t="shared" si="1"/>
        <v>1357509.9999999993</v>
      </c>
      <c r="S13" s="60">
        <f t="shared" si="2"/>
        <v>2.6352000000000011E-2</v>
      </c>
      <c r="T13" s="26">
        <f t="shared" si="3"/>
        <v>46505.034575999998</v>
      </c>
      <c r="U13" s="98">
        <f t="shared" si="4"/>
        <v>2.2001401361200172</v>
      </c>
      <c r="V13" s="98">
        <f t="shared" si="9"/>
        <v>4.4995057898788167E-2</v>
      </c>
    </row>
    <row r="14" spans="2:22" ht="15" customHeight="1" x14ac:dyDescent="0.25">
      <c r="B14" s="37">
        <v>5</v>
      </c>
      <c r="C14" s="37">
        <v>0</v>
      </c>
      <c r="D14" s="6"/>
      <c r="E14" s="30">
        <f t="shared" si="5"/>
        <v>0</v>
      </c>
      <c r="F14" s="30">
        <f t="shared" si="5"/>
        <v>0</v>
      </c>
      <c r="G14" s="30">
        <f t="shared" si="5"/>
        <v>1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99">
        <v>1269.14324378947</v>
      </c>
      <c r="N14" s="100">
        <f t="shared" si="6"/>
        <v>0</v>
      </c>
      <c r="O14" s="49">
        <v>1269.14324378947</v>
      </c>
      <c r="P14" s="101">
        <f t="shared" si="7"/>
        <v>2.7992427311769349E-5</v>
      </c>
      <c r="Q14" s="8" t="str">
        <f t="shared" si="8"/>
        <v>5</v>
      </c>
      <c r="R14" s="15">
        <f t="shared" si="1"/>
        <v>35723.947368421046</v>
      </c>
      <c r="S14" s="60">
        <f t="shared" si="2"/>
        <v>2.7327999999999925E-2</v>
      </c>
      <c r="T14" s="26">
        <f t="shared" si="3"/>
        <v>1269.14324378947</v>
      </c>
      <c r="U14" s="98">
        <f t="shared" si="4"/>
        <v>2.1215637026871663</v>
      </c>
      <c r="V14" s="98">
        <f t="shared" si="9"/>
        <v>0.11585238566474752</v>
      </c>
    </row>
    <row r="15" spans="2:22" ht="15" customHeight="1" x14ac:dyDescent="0.25">
      <c r="B15" s="37">
        <v>4</v>
      </c>
      <c r="C15" s="37">
        <v>1</v>
      </c>
      <c r="D15" s="6"/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1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99">
        <v>163.17555991578899</v>
      </c>
      <c r="N15" s="100">
        <f t="shared" si="6"/>
        <v>0</v>
      </c>
      <c r="O15" s="49">
        <v>163.17555991578899</v>
      </c>
      <c r="P15" s="101">
        <f t="shared" si="7"/>
        <v>6.9981068279423395E-5</v>
      </c>
      <c r="Q15" s="9" t="str">
        <f t="shared" si="8"/>
        <v>4 + ZZ</v>
      </c>
      <c r="R15" s="16">
        <f t="shared" si="1"/>
        <v>14289.578947368413</v>
      </c>
      <c r="S15" s="61">
        <f t="shared" si="2"/>
        <v>8.7839999999999793E-3</v>
      </c>
      <c r="T15" s="27">
        <f t="shared" si="3"/>
        <v>163.17555991578899</v>
      </c>
      <c r="U15" s="98">
        <f t="shared" si="4"/>
        <v>6.6004204083600708</v>
      </c>
      <c r="V15" s="98">
        <f t="shared" si="9"/>
        <v>4.6824641563941546E-2</v>
      </c>
    </row>
    <row r="16" spans="2:22" ht="15" customHeight="1" x14ac:dyDescent="0.25">
      <c r="B16" s="37">
        <v>4</v>
      </c>
      <c r="C16" s="37">
        <v>0</v>
      </c>
      <c r="D16" s="6"/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1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99">
        <v>51.451753126600202</v>
      </c>
      <c r="N16" s="100">
        <f t="shared" si="6"/>
        <v>0</v>
      </c>
      <c r="O16" s="49">
        <v>51.451753126600202</v>
      </c>
      <c r="P16" s="101">
        <f t="shared" si="7"/>
        <v>1.294649763169333E-3</v>
      </c>
      <c r="Q16" s="9" t="str">
        <f t="shared" si="8"/>
        <v>4</v>
      </c>
      <c r="R16" s="16">
        <f t="shared" si="1"/>
        <v>772.40967283072496</v>
      </c>
      <c r="S16" s="61">
        <f t="shared" si="2"/>
        <v>5.1239999999999945E-2</v>
      </c>
      <c r="T16" s="27">
        <f t="shared" si="3"/>
        <v>51.451753126600202</v>
      </c>
      <c r="U16" s="98">
        <f t="shared" si="4"/>
        <v>1.1315006414331534</v>
      </c>
      <c r="V16" s="98">
        <f t="shared" si="9"/>
        <v>0.51240001869960905</v>
      </c>
    </row>
    <row r="17" spans="2:24" ht="15" customHeight="1" x14ac:dyDescent="0.25">
      <c r="B17" s="37">
        <v>3</v>
      </c>
      <c r="C17" s="37">
        <v>1</v>
      </c>
      <c r="D17" s="6"/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1</v>
      </c>
      <c r="K17" s="30">
        <f t="shared" si="5"/>
        <v>0</v>
      </c>
      <c r="L17" s="30">
        <f t="shared" si="5"/>
        <v>0</v>
      </c>
      <c r="M17" s="99">
        <v>16.538063504978599</v>
      </c>
      <c r="N17" s="100">
        <f t="shared" si="6"/>
        <v>0</v>
      </c>
      <c r="O17" s="49">
        <v>16.538063504978599</v>
      </c>
      <c r="P17" s="101">
        <f t="shared" si="7"/>
        <v>1.726199684225779E-3</v>
      </c>
      <c r="Q17" s="10" t="str">
        <f t="shared" si="8"/>
        <v>3 + ZZ</v>
      </c>
      <c r="R17" s="17">
        <f t="shared" si="1"/>
        <v>579.30725462304315</v>
      </c>
      <c r="S17" s="62">
        <f t="shared" si="2"/>
        <v>2.1959999999999948E-2</v>
      </c>
      <c r="T17" s="28">
        <f t="shared" si="3"/>
        <v>16.538063504978599</v>
      </c>
      <c r="U17" s="98">
        <f t="shared" si="4"/>
        <v>2.6401681633440282</v>
      </c>
      <c r="V17" s="98">
        <f t="shared" si="9"/>
        <v>0.21960000801411789</v>
      </c>
    </row>
    <row r="18" spans="2:24" ht="15" customHeight="1" x14ac:dyDescent="0.25">
      <c r="B18" s="37">
        <v>3</v>
      </c>
      <c r="C18" s="37">
        <v>0</v>
      </c>
      <c r="D18" s="6"/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1</v>
      </c>
      <c r="L18" s="30">
        <f t="shared" si="5"/>
        <v>0</v>
      </c>
      <c r="M18" s="99">
        <v>5.5433138785206104</v>
      </c>
      <c r="N18" s="100">
        <f t="shared" si="6"/>
        <v>0</v>
      </c>
      <c r="O18" s="49">
        <v>5.5433138785206104</v>
      </c>
      <c r="P18" s="101">
        <f>IFERROR(IF(T18=0,0,1/R18),"")</f>
        <v>2.0714396210709352E-2</v>
      </c>
      <c r="Q18" s="10" t="str">
        <f t="shared" si="8"/>
        <v>3</v>
      </c>
      <c r="R18" s="17">
        <f t="shared" si="1"/>
        <v>48.275604551920253</v>
      </c>
      <c r="S18" s="62">
        <f t="shared" si="2"/>
        <v>8.8327999999999907E-2</v>
      </c>
      <c r="T18" s="28">
        <f t="shared" si="3"/>
        <v>5.5433138785206104</v>
      </c>
      <c r="U18" s="98">
        <f t="shared" si="4"/>
        <v>1.5234719810906643</v>
      </c>
      <c r="V18" s="98">
        <f t="shared" si="9"/>
        <v>0.88328003223456408</v>
      </c>
    </row>
    <row r="19" spans="2:24" ht="15" customHeight="1" x14ac:dyDescent="0.25">
      <c r="B19" s="37">
        <v>2</v>
      </c>
      <c r="C19" s="37">
        <v>1</v>
      </c>
      <c r="D19" s="6"/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99"/>
      <c r="N19" s="100"/>
      <c r="O19" s="68" t="s">
        <v>31</v>
      </c>
      <c r="P19" s="101" t="str">
        <f t="shared" si="7"/>
        <v/>
      </c>
      <c r="Q19" s="64" t="str">
        <f t="shared" si="8"/>
        <v>2 + ZZ</v>
      </c>
      <c r="R19" s="65" t="str">
        <f t="shared" si="1"/>
        <v/>
      </c>
      <c r="S19" s="66" t="str">
        <f t="shared" si="2"/>
        <v/>
      </c>
      <c r="T19" s="67" t="str">
        <f t="shared" si="3"/>
        <v/>
      </c>
      <c r="U19" s="98" t="str">
        <f t="shared" si="4"/>
        <v/>
      </c>
      <c r="V19" s="98" t="str">
        <f t="shared" si="9"/>
        <v/>
      </c>
    </row>
    <row r="20" spans="2:24" ht="15" customHeight="1" x14ac:dyDescent="0.25">
      <c r="B20" s="37">
        <v>1</v>
      </c>
      <c r="C20" s="37">
        <v>1</v>
      </c>
      <c r="D20" s="6"/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0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99"/>
      <c r="N20" s="100"/>
      <c r="O20" s="68" t="s">
        <v>31</v>
      </c>
      <c r="P20" s="101" t="str">
        <f t="shared" si="7"/>
        <v/>
      </c>
      <c r="Q20" s="64" t="str">
        <f t="shared" si="8"/>
        <v>1 + ZZ</v>
      </c>
      <c r="R20" s="65" t="str">
        <f t="shared" si="1"/>
        <v/>
      </c>
      <c r="S20" s="66" t="str">
        <f t="shared" si="2"/>
        <v/>
      </c>
      <c r="T20" s="67" t="str">
        <f t="shared" si="3"/>
        <v/>
      </c>
      <c r="U20" s="98" t="str">
        <f t="shared" si="4"/>
        <v/>
      </c>
      <c r="V20" s="98" t="str">
        <f t="shared" si="9"/>
        <v/>
      </c>
    </row>
    <row r="21" spans="2:24" ht="15" customHeight="1" x14ac:dyDescent="0.25">
      <c r="B21" s="37">
        <v>0</v>
      </c>
      <c r="C21" s="37">
        <v>1</v>
      </c>
      <c r="D21" s="6"/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0</v>
      </c>
      <c r="J21" s="30">
        <f t="shared" si="5"/>
        <v>0</v>
      </c>
      <c r="K21" s="30">
        <f t="shared" si="5"/>
        <v>0</v>
      </c>
      <c r="L21" s="30">
        <f t="shared" si="5"/>
        <v>1</v>
      </c>
      <c r="M21" s="99">
        <v>1.3</v>
      </c>
      <c r="N21" s="100">
        <f t="shared" si="6"/>
        <v>0</v>
      </c>
      <c r="O21" s="49">
        <v>1.3</v>
      </c>
      <c r="P21" s="101">
        <f t="shared" si="7"/>
        <v>6.1625328726860211E-2</v>
      </c>
      <c r="Q21" s="64" t="str">
        <f t="shared" si="8"/>
        <v>0 + ZZ</v>
      </c>
      <c r="R21" s="65">
        <f t="shared" si="1"/>
        <v>16.227093967032047</v>
      </c>
      <c r="S21" s="66">
        <f t="shared" si="2"/>
        <v>6.1625328726860211E-2</v>
      </c>
      <c r="T21" s="67">
        <f>IFERROR(IF(OR(T$8="",R21="",SUM(N$11:N$30)&gt;0),"",(O$12*$E21+O$13*$F21+O$14*$G21+O$15*$H21+O$16*$I21+O$17*$J21+O$18*$K21+O$21*$L21)/S$8),"")</f>
        <v>1.3</v>
      </c>
      <c r="U21" s="98">
        <f t="shared" si="4"/>
        <v>1.0629071374974328</v>
      </c>
      <c r="V21" s="98">
        <f t="shared" si="9"/>
        <v>0.61625330975825054</v>
      </c>
    </row>
    <row r="22" spans="2:24" ht="15" customHeight="1" x14ac:dyDescent="0.25">
      <c r="Q22" s="12" t="s">
        <v>8</v>
      </c>
      <c r="R22" s="19">
        <f>IFERROR(1/SUM(P11:P21),"")</f>
        <v>11.701461917732642</v>
      </c>
      <c r="S22" s="58">
        <f>IF(SUM(S11:S21)=0,"",SUM(S11:S21))</f>
        <v>0.46382474293627779</v>
      </c>
      <c r="T22" s="20">
        <f>IFERROR(T9*S22,"")</f>
        <v>0.60297216581716118</v>
      </c>
      <c r="V22" s="98"/>
    </row>
    <row r="23" spans="2:24" ht="15" customHeight="1" x14ac:dyDescent="0.25">
      <c r="Q23" s="13"/>
      <c r="R23" s="13"/>
      <c r="S23" s="101">
        <f>IFERROR(AVERAGE(S11:S21),"")</f>
        <v>5.7978092867034724E-2</v>
      </c>
      <c r="T23" s="13"/>
      <c r="U23" s="98">
        <f>IFERROR(AVERAGE(U11:U21),"")</f>
        <v>2.5442343450681895</v>
      </c>
      <c r="V23" s="98">
        <f>IF(SUM(V11:V21)=0,"",SUM(V11:V21))</f>
        <v>2.6336246705985342</v>
      </c>
    </row>
    <row r="25" spans="2:24" x14ac:dyDescent="0.25">
      <c r="B25" s="39" t="s">
        <v>36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2:24" x14ac:dyDescent="0.25">
      <c r="B26" s="39" t="s">
        <v>35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2:24" ht="15" thickBot="1" x14ac:dyDescent="0.3">
      <c r="U27" s="73"/>
      <c r="V27" s="73"/>
      <c r="W27" s="73"/>
      <c r="X27" s="73"/>
    </row>
    <row r="28" spans="2:24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2:24" x14ac:dyDescent="0.25">
      <c r="B29" s="74" t="s">
        <v>11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</row>
    <row r="30" spans="2:24" ht="7.5" customHeight="1" x14ac:dyDescent="0.25">
      <c r="B30"/>
      <c r="C30"/>
      <c r="D30"/>
      <c r="E30"/>
      <c r="F30"/>
      <c r="G30"/>
      <c r="H30"/>
      <c r="I30"/>
    </row>
    <row r="31" spans="2:24" x14ac:dyDescent="0.25">
      <c r="B31" s="75" t="s">
        <v>12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</row>
  </sheetData>
  <sheetProtection algorithmName="SHA-512" hashValue="PhYVmlr3gBMw4R3B+kAoZcS0In8bETfAFq/4UJEjOG7ZsQIxt6U1VK6HPoqw/hnhjnymxOfkYAGFXWLS6JhrMw==" saltValue="Q9bmXk9e2ddSQ631AXvBAg==" spinCount="100000" sheet="1" objects="1" scenarios="1" selectLockedCells="1"/>
  <mergeCells count="16">
    <mergeCell ref="Q2:S2"/>
    <mergeCell ref="Q4:S4"/>
    <mergeCell ref="B4:H4"/>
    <mergeCell ref="I4:J4"/>
    <mergeCell ref="Q3:S3"/>
    <mergeCell ref="B3:H3"/>
    <mergeCell ref="I3:J3"/>
    <mergeCell ref="B29:X29"/>
    <mergeCell ref="B31:X31"/>
    <mergeCell ref="Q5:S5"/>
    <mergeCell ref="B5:H5"/>
    <mergeCell ref="I5:J5"/>
    <mergeCell ref="B8:C9"/>
    <mergeCell ref="Q8:R8"/>
    <mergeCell ref="O9:O10"/>
    <mergeCell ref="Q9:R9"/>
  </mergeCells>
  <conditionalFormatting sqref="S22">
    <cfRule type="cellIs" dxfId="31" priority="14" stopIfTrue="1" operator="greaterThanOrEqual">
      <formula>0.6</formula>
    </cfRule>
    <cfRule type="cellIs" dxfId="30" priority="15" stopIfTrue="1" operator="greaterThanOrEqual">
      <formula>0.4</formula>
    </cfRule>
    <cfRule type="cellIs" dxfId="29" priority="16" stopIfTrue="1" operator="lessThan">
      <formula>0.4</formula>
    </cfRule>
  </conditionalFormatting>
  <conditionalFormatting sqref="E11:L21">
    <cfRule type="expression" dxfId="28" priority="11">
      <formula>IF(AND(E11&gt;0,E11&lt;1000000000),TRUE,FALSE)</formula>
    </cfRule>
    <cfRule type="expression" dxfId="27" priority="12">
      <formula>IF(E11=0,TRUE,FALSE)</formula>
    </cfRule>
  </conditionalFormatting>
  <conditionalFormatting sqref="E11:L21">
    <cfRule type="expression" dxfId="26" priority="13">
      <formula>IF(E11&gt;=1000000,TRUE,FALSE)</formula>
    </cfRule>
  </conditionalFormatting>
  <conditionalFormatting sqref="I4">
    <cfRule type="expression" dxfId="25" priority="10">
      <formula>IF(I4="",FALSE,IF(OR(I4&lt;1,I4&gt;1000000),TRUE,FALSE))</formula>
    </cfRule>
  </conditionalFormatting>
  <conditionalFormatting sqref="I5">
    <cfRule type="expression" dxfId="24" priority="9">
      <formula>IF(I5="",FALSE,IF(OR(I5&lt;0.01,I5&gt;100),TRUE,FALSE))</formula>
    </cfRule>
  </conditionalFormatting>
  <conditionalFormatting sqref="T9">
    <cfRule type="expression" dxfId="23" priority="4">
      <formula>IF(T9&gt;=99999999.5,TRUE,FALSE)</formula>
    </cfRule>
    <cfRule type="expression" dxfId="22" priority="5">
      <formula>IF(T9&gt;=99999.95,TRUE,FALSE)</formula>
    </cfRule>
    <cfRule type="expression" dxfId="21" priority="6">
      <formula>IF(T9&gt;=9999.995,TRUE,FALSE)</formula>
    </cfRule>
  </conditionalFormatting>
  <conditionalFormatting sqref="S11:S22">
    <cfRule type="expression" dxfId="20" priority="2">
      <formula>IF(S11&gt;=100,TRUE,FALSE)</formula>
    </cfRule>
    <cfRule type="expression" dxfId="19" priority="3">
      <formula>IF(S11&gt;=10,TRUE,FALSE)</formula>
    </cfRule>
  </conditionalFormatting>
  <conditionalFormatting sqref="O12:O18 O21">
    <cfRule type="expression" dxfId="18" priority="1">
      <formula>IF(O12="",FALSE,IF(OR(O12&lt;M12/100,O12&gt;M12*100),TRUE,FALSE))</formula>
    </cfRule>
  </conditionalFormatting>
  <conditionalFormatting sqref="I3">
    <cfRule type="expression" dxfId="17" priority="57">
      <formula>IF(I3="",FALSE,IF(OR(I3&lt;M3,I3&gt;L3),TRUE,FALSE))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8"/>
  <sheetViews>
    <sheetView showGridLines="0" zoomScaleNormal="100" workbookViewId="0">
      <selection activeCell="I3" sqref="I3:J3"/>
    </sheetView>
  </sheetViews>
  <sheetFormatPr baseColWidth="10" defaultRowHeight="14.25" x14ac:dyDescent="0.25"/>
  <cols>
    <col min="1" max="1" width="2.85546875" style="1" customWidth="1"/>
    <col min="2" max="3" width="6.28515625" style="1" customWidth="1"/>
    <col min="4" max="4" width="4.28515625" style="1" customWidth="1"/>
    <col min="5" max="11" width="6.28515625" style="1" customWidth="1"/>
    <col min="12" max="13" width="2.140625" style="1" customWidth="1"/>
    <col min="14" max="14" width="17" style="1" customWidth="1"/>
    <col min="15" max="15" width="4.28515625" style="1" customWidth="1"/>
    <col min="16" max="16" width="8.85546875" style="1" customWidth="1"/>
    <col min="17" max="17" width="14.28515625" style="1" customWidth="1"/>
    <col min="18" max="18" width="8.28515625" style="1" customWidth="1"/>
    <col min="19" max="19" width="14.85546875" style="1" customWidth="1"/>
    <col min="20" max="24" width="6.28515625" style="1" customWidth="1"/>
    <col min="25" max="16384" width="11.42578125" style="1"/>
  </cols>
  <sheetData>
    <row r="1" spans="2:21" ht="15" customHeight="1" x14ac:dyDescent="0.25"/>
    <row r="2" spans="2:21" ht="15" customHeight="1" x14ac:dyDescent="0.25">
      <c r="P2" s="89" t="s">
        <v>13</v>
      </c>
      <c r="Q2" s="90"/>
      <c r="R2" s="91"/>
      <c r="S2" s="51">
        <f>IFERROR(U20,"")</f>
        <v>2.8862450990755475</v>
      </c>
    </row>
    <row r="3" spans="2:21" ht="15" customHeight="1" x14ac:dyDescent="0.25">
      <c r="B3" s="89" t="str">
        <f>CONCATENATE("Anzahl Normalzahlen (",K3,") im Vollsystem:")</f>
        <v>Anzahl Normalzahlen (NZ) im Vollsystem:</v>
      </c>
      <c r="C3" s="90"/>
      <c r="D3" s="90"/>
      <c r="E3" s="84"/>
      <c r="F3" s="90"/>
      <c r="G3" s="90"/>
      <c r="H3" s="91"/>
      <c r="I3" s="92">
        <v>6</v>
      </c>
      <c r="J3" s="93"/>
      <c r="K3" s="96" t="s">
        <v>0</v>
      </c>
      <c r="L3" s="96">
        <v>90</v>
      </c>
      <c r="M3" s="96">
        <v>6</v>
      </c>
      <c r="N3" s="97" t="s">
        <v>32</v>
      </c>
      <c r="P3" s="89" t="s">
        <v>10</v>
      </c>
      <c r="Q3" s="90"/>
      <c r="R3" s="91"/>
      <c r="S3" s="35">
        <f>IFERROR(T20,"")</f>
        <v>7.8390105734259583</v>
      </c>
    </row>
    <row r="4" spans="2:21" ht="15" customHeight="1" x14ac:dyDescent="0.25">
      <c r="B4" s="89" t="s">
        <v>14</v>
      </c>
      <c r="C4" s="90"/>
      <c r="D4" s="90"/>
      <c r="E4" s="87"/>
      <c r="F4" s="90"/>
      <c r="G4" s="90"/>
      <c r="H4" s="91"/>
      <c r="I4" s="92">
        <v>1</v>
      </c>
      <c r="J4" s="93"/>
      <c r="P4" s="89" t="s">
        <v>9</v>
      </c>
      <c r="Q4" s="90"/>
      <c r="R4" s="91"/>
      <c r="S4" s="36">
        <f>IFERROR(1/Q19,"")</f>
        <v>0.34713782103064295</v>
      </c>
    </row>
    <row r="5" spans="2:21" ht="15" customHeight="1" x14ac:dyDescent="0.25">
      <c r="B5" s="89" t="s">
        <v>15</v>
      </c>
      <c r="C5" s="90"/>
      <c r="D5" s="90"/>
      <c r="E5" s="90"/>
      <c r="F5" s="90"/>
      <c r="G5" s="90"/>
      <c r="H5" s="91"/>
      <c r="I5" s="94">
        <v>1.5</v>
      </c>
      <c r="J5" s="95"/>
      <c r="P5" s="89" t="s">
        <v>34</v>
      </c>
      <c r="Q5" s="90"/>
      <c r="R5" s="91"/>
      <c r="S5" s="36">
        <f>IFERROR(IF(S8="","",SUMIF(S11:S18,"&gt;"&amp;S9,O11:O18)),"")</f>
        <v>4.9631005297771431E-2</v>
      </c>
    </row>
    <row r="6" spans="2:21" ht="15" customHeight="1" x14ac:dyDescent="0.25">
      <c r="N6" s="96"/>
    </row>
    <row r="7" spans="2:21" ht="15" customHeight="1" x14ac:dyDescent="0.25"/>
    <row r="8" spans="2:21" ht="15" customHeight="1" x14ac:dyDescent="0.25">
      <c r="B8" s="80" t="s">
        <v>1</v>
      </c>
      <c r="C8" s="80"/>
      <c r="D8" s="2" t="str">
        <f>K3</f>
        <v>NZ</v>
      </c>
      <c r="E8" s="37">
        <v>6</v>
      </c>
      <c r="F8" s="37">
        <v>5</v>
      </c>
      <c r="G8" s="37">
        <v>5</v>
      </c>
      <c r="H8" s="37">
        <v>4</v>
      </c>
      <c r="I8" s="69">
        <v>3</v>
      </c>
      <c r="J8" s="69">
        <v>2</v>
      </c>
      <c r="K8" s="37">
        <v>1</v>
      </c>
      <c r="N8" s="41" t="str">
        <f>$N$3</f>
        <v>SuperLotto</v>
      </c>
      <c r="P8" s="76" t="str">
        <f>IFERROR(IF(OR($I$3&gt;$L$3,$I$3&lt;$M$3),$N$3,CONCATENATE($N$3," (",$I$3,")")),"")</f>
        <v>SuperLotto (6)</v>
      </c>
      <c r="Q8" s="77"/>
      <c r="R8" s="32">
        <f>IFERROR(IF(OR($I$4&lt;1,$I$4&gt;1000000),"",$I$4),"")</f>
        <v>1</v>
      </c>
      <c r="S8" s="24">
        <f>IFERROR(IF(OR($I$3&gt;$L$3,$I$3&lt;$M$3),"",COMBIN($I$3,$M$3)),"")</f>
        <v>1</v>
      </c>
      <c r="T8" s="98"/>
      <c r="U8" s="98"/>
    </row>
    <row r="9" spans="2:21" ht="15" customHeight="1" x14ac:dyDescent="0.25">
      <c r="B9" s="80"/>
      <c r="C9" s="80"/>
      <c r="D9" s="2" t="str">
        <f>C10</f>
        <v>GZ</v>
      </c>
      <c r="E9" s="37">
        <v>0</v>
      </c>
      <c r="F9" s="37">
        <v>1</v>
      </c>
      <c r="G9" s="37">
        <v>0</v>
      </c>
      <c r="H9" s="71">
        <v>0</v>
      </c>
      <c r="I9" s="72">
        <v>0</v>
      </c>
      <c r="J9" s="72">
        <v>0</v>
      </c>
      <c r="K9" s="71">
        <v>0</v>
      </c>
      <c r="N9" s="81" t="s">
        <v>17</v>
      </c>
      <c r="P9" s="78" t="str">
        <f>CONCATENATE($M$3,"+1 aus ",$L$3)</f>
        <v>6+1 aus 90</v>
      </c>
      <c r="Q9" s="79"/>
      <c r="R9" s="33" t="str">
        <f>IF(R8=1,"Anteil","Anteile")</f>
        <v>Anteil</v>
      </c>
      <c r="S9" s="40">
        <f>IFERROR(IF(OR($I$5&lt;0.01,$I$5&gt;100),"",S8*$I$5/R8),"")</f>
        <v>1.5</v>
      </c>
      <c r="T9" s="98"/>
      <c r="U9" s="98"/>
    </row>
    <row r="10" spans="2:21" ht="15" customHeight="1" x14ac:dyDescent="0.25">
      <c r="B10" s="3" t="str">
        <f>K3</f>
        <v>NZ</v>
      </c>
      <c r="C10" s="3" t="s">
        <v>33</v>
      </c>
      <c r="D10" s="4"/>
      <c r="E10" s="102"/>
      <c r="F10" s="102"/>
      <c r="G10" s="102"/>
      <c r="H10" s="102" t="s">
        <v>37</v>
      </c>
      <c r="I10" s="102" t="s">
        <v>37</v>
      </c>
      <c r="J10" s="102" t="s">
        <v>37</v>
      </c>
      <c r="K10" s="102" t="s">
        <v>37</v>
      </c>
      <c r="N10" s="82"/>
      <c r="P10" s="21" t="s">
        <v>4</v>
      </c>
      <c r="Q10" s="21" t="s">
        <v>5</v>
      </c>
      <c r="R10" s="21" t="s">
        <v>6</v>
      </c>
      <c r="S10" s="21" t="s">
        <v>7</v>
      </c>
      <c r="T10" s="98"/>
      <c r="U10" s="98"/>
    </row>
    <row r="11" spans="2:21" ht="15" customHeight="1" x14ac:dyDescent="0.25">
      <c r="B11" s="37">
        <v>6</v>
      </c>
      <c r="C11" s="37">
        <v>1</v>
      </c>
      <c r="D11" s="102"/>
      <c r="E11" s="30">
        <f>IFERROR(IF(OR(IF($D11="",$I$3&gt;=$L$3-$M$3+$B11+$C11,$I$3&gt;$L$3-$M$3+$B11+$C11),E$9&gt;$C11),0,COMBIN($I$3-$B11-IF(E$10="",$C11,0),$M$3-E$8-E$9)*COMBIN($B11,E$8)),0)</f>
        <v>0</v>
      </c>
      <c r="F11" s="30">
        <f t="shared" ref="F11:K11" si="0">IFERROR(IF(OR(IF($D11="",$I$3&gt;=$L$3-$M$3+$B11+$C11,$I$3&gt;$L$3-$M$3+$B11+$C11),F$9&gt;$C11),0,COMBIN($I$3-$B11-IF(F$10="",$C11,0),$M$3-F$8-F$9)*COMBIN($B11,F$8)),0)</f>
        <v>0</v>
      </c>
      <c r="G11" s="30">
        <f t="shared" si="0"/>
        <v>0</v>
      </c>
      <c r="H11" s="30">
        <f t="shared" si="0"/>
        <v>0</v>
      </c>
      <c r="I11" s="70">
        <f t="shared" si="0"/>
        <v>0</v>
      </c>
      <c r="J11" s="70">
        <f t="shared" si="0"/>
        <v>0</v>
      </c>
      <c r="K11" s="30">
        <f t="shared" si="0"/>
        <v>0</v>
      </c>
      <c r="L11" s="99"/>
      <c r="M11" s="100"/>
      <c r="N11" s="68" t="s">
        <v>31</v>
      </c>
      <c r="O11" s="98" t="str">
        <f>IFERROR(IF(S11=0,0,1/Q11),"")</f>
        <v/>
      </c>
      <c r="P11" s="7" t="str">
        <f>CONCATENATE($B11,IF($C11=1,CONCATENATE(" + ",$C$10),""))</f>
        <v>6 + GZ</v>
      </c>
      <c r="Q11" s="14" t="str">
        <f>IFERROR(IF(OR(S$8="",SUM($E11:$K11)=0,SUM(M$11:M$27)&gt;0),"",1/(HYPGEOMDIST($B11,$I$3,$M$3,$L$3)*HYPGEOMDIST($C11,$I$3-$B11,1,$L$3-$M$3))),"")</f>
        <v/>
      </c>
      <c r="R11" s="52" t="str">
        <f t="shared" ref="R11:R18" si="1">IFERROR(S11/Q11/S$9,"")</f>
        <v/>
      </c>
      <c r="S11" s="25" t="str">
        <f>IFERROR(IF(OR(S$8="",Q11="",SUM(M$11:M$27)&gt;0),"",(N$12*$E11+N$13*$F11+N$14*$G11+N$15*$H11+N$16*$I11+N$17*$J11+N$18*$K11)/R$8),"")</f>
        <v/>
      </c>
      <c r="T11" s="98" t="str">
        <f t="shared" ref="T11:T18" si="2">IFERROR(IF(R11&lt;R$20,R$20/R11,R11/R$20),"")</f>
        <v/>
      </c>
      <c r="U11" s="98" t="str">
        <f>IFERROR(R11/IF((Q11*S$9)&lt;1500,1500,Q11*S$9)^0.25*62.2333,"")</f>
        <v/>
      </c>
    </row>
    <row r="12" spans="2:21" ht="15" customHeight="1" x14ac:dyDescent="0.25">
      <c r="B12" s="37">
        <v>6</v>
      </c>
      <c r="C12" s="37">
        <v>0</v>
      </c>
      <c r="D12" s="102"/>
      <c r="E12" s="30">
        <f t="shared" ref="E12:K18" si="3">IFERROR(IF(OR(IF($D12="",$I$3&gt;=$L$3-$M$3+$B12+$C12,$I$3&gt;$L$3-$M$3+$B12+$C12),E$9&gt;$C12),0,COMBIN($I$3-$B12-IF(E$10="",$C12,0),$M$3-E$8-E$9)*COMBIN($B12,E$8)),0)</f>
        <v>1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70">
        <f t="shared" si="3"/>
        <v>0</v>
      </c>
      <c r="J12" s="70">
        <f t="shared" si="3"/>
        <v>0</v>
      </c>
      <c r="K12" s="30">
        <f t="shared" si="3"/>
        <v>0</v>
      </c>
      <c r="L12" s="99">
        <v>52000773.897599921</v>
      </c>
      <c r="M12" s="100">
        <f t="shared" ref="M12:M17" si="4">IF(OR(N12&lt;L12/100,N12&gt;L12*100),1,0)</f>
        <v>0</v>
      </c>
      <c r="N12" s="49">
        <f>65000967.3719999*0.8</f>
        <v>52000773.897599921</v>
      </c>
      <c r="O12" s="101">
        <f t="shared" ref="O12:O18" si="5">IFERROR(IF(S12=0,0,1/Q12),"")</f>
        <v>1.6061299426902344E-9</v>
      </c>
      <c r="P12" s="7" t="str">
        <f t="shared" ref="P12:P18" si="6">CONCATENATE($B12,IF($C12=1,CONCATENATE(" + ",$C$10),""))</f>
        <v>6</v>
      </c>
      <c r="Q12" s="14">
        <f>IFERROR(IF(OR(S$8="",SUM($E12:$K12)=0,SUM(M$11:M$27)&gt;0),"",1/(HYPGEOMDIST($B12,$I$3,$M$3,$L$3)*HYPGEOMDIST($C12,$I$3-$B12,1,$L$3-$M$3))),"")</f>
        <v>622614629.99999905</v>
      </c>
      <c r="R12" s="52">
        <f t="shared" si="1"/>
        <v>5.568E-2</v>
      </c>
      <c r="S12" s="25">
        <f t="shared" ref="S12:S17" si="7">IFERROR(IF(OR(S$8="",Q12="",SUM(M$11:M$27)&gt;0),"",(N$12*$E12+N$13*$F12+N$14*$G12+N$15*$H12+N$16*$I12+N$17*$J12+N$18*$K12)/R$8),"")</f>
        <v>52000773.897599921</v>
      </c>
      <c r="T12" s="98">
        <f t="shared" si="2"/>
        <v>1.0860787676254724</v>
      </c>
      <c r="U12" s="98">
        <f t="shared" ref="U12:U18" si="8">IFERROR(R12/IF((Q12*S$9)&lt;1500,1500,Q12*S$9)^0.25*62.2333,"")</f>
        <v>1.9821860350401982E-2</v>
      </c>
    </row>
    <row r="13" spans="2:21" ht="15" customHeight="1" x14ac:dyDescent="0.25">
      <c r="B13" s="37">
        <v>5</v>
      </c>
      <c r="C13" s="37">
        <v>1</v>
      </c>
      <c r="D13" s="102"/>
      <c r="E13" s="30">
        <f t="shared" si="3"/>
        <v>0</v>
      </c>
      <c r="F13" s="30">
        <f t="shared" si="3"/>
        <v>1</v>
      </c>
      <c r="G13" s="30">
        <f t="shared" si="3"/>
        <v>0</v>
      </c>
      <c r="H13" s="30">
        <f t="shared" si="3"/>
        <v>0</v>
      </c>
      <c r="I13" s="70">
        <f t="shared" si="3"/>
        <v>0</v>
      </c>
      <c r="J13" s="70">
        <f t="shared" si="3"/>
        <v>0</v>
      </c>
      <c r="K13" s="30">
        <f t="shared" si="3"/>
        <v>0</v>
      </c>
      <c r="L13" s="99">
        <v>200000</v>
      </c>
      <c r="M13" s="100">
        <f t="shared" si="4"/>
        <v>0</v>
      </c>
      <c r="N13" s="49">
        <f>250000*0.8</f>
        <v>200000</v>
      </c>
      <c r="O13" s="101">
        <f t="shared" si="5"/>
        <v>9.6367796561413816E-9</v>
      </c>
      <c r="P13" s="8" t="str">
        <f t="shared" si="6"/>
        <v>5 + GZ</v>
      </c>
      <c r="Q13" s="15">
        <f>IFERROR(IF(OR(S$8="",SUM($E13:$K13)=0,SUM(M$11:M$27)&gt;0),"",1/(HYPGEOMDIST($B13,$I$3,$M$3,$L$3)*HYPGEOMDIST($C13,$I$3-$B13,1,$L$3-$M$3))),"")</f>
        <v>103769105.00000012</v>
      </c>
      <c r="R13" s="53">
        <f t="shared" si="1"/>
        <v>1.2849039541521841E-3</v>
      </c>
      <c r="S13" s="26">
        <f t="shared" si="7"/>
        <v>200000</v>
      </c>
      <c r="T13" s="98">
        <f t="shared" si="2"/>
        <v>39.899480166380997</v>
      </c>
      <c r="U13" s="98">
        <f t="shared" si="8"/>
        <v>7.1590214508431319E-4</v>
      </c>
    </row>
    <row r="14" spans="2:21" ht="15" customHeight="1" x14ac:dyDescent="0.25">
      <c r="B14" s="37">
        <v>5</v>
      </c>
      <c r="C14" s="37">
        <v>0</v>
      </c>
      <c r="D14" s="102"/>
      <c r="E14" s="30">
        <f t="shared" si="3"/>
        <v>0</v>
      </c>
      <c r="F14" s="30">
        <f t="shared" si="3"/>
        <v>0</v>
      </c>
      <c r="G14" s="30">
        <f t="shared" si="3"/>
        <v>1</v>
      </c>
      <c r="H14" s="30">
        <f t="shared" si="3"/>
        <v>0</v>
      </c>
      <c r="I14" s="70">
        <f t="shared" si="3"/>
        <v>0</v>
      </c>
      <c r="J14" s="70">
        <f t="shared" si="3"/>
        <v>0</v>
      </c>
      <c r="K14" s="30">
        <f t="shared" si="3"/>
        <v>0</v>
      </c>
      <c r="L14" s="99">
        <v>20000</v>
      </c>
      <c r="M14" s="100">
        <f t="shared" si="4"/>
        <v>0</v>
      </c>
      <c r="N14" s="49">
        <f>25000*0.8</f>
        <v>20000</v>
      </c>
      <c r="O14" s="101">
        <f t="shared" si="5"/>
        <v>7.9985271145973459E-7</v>
      </c>
      <c r="P14" s="8" t="str">
        <f t="shared" si="6"/>
        <v>5</v>
      </c>
      <c r="Q14" s="15">
        <f>IFERROR(IF(OR(S$8="",SUM($E14:$K14)=0,SUM(M$11:M$27)&gt;0),"",1/(HYPGEOMDIST($B14,$I$3,$M$3,$L$3)*HYPGEOMDIST($C14,$I$3-$B14,1,$L$3-$M$3))),"")</f>
        <v>1250230.180722893</v>
      </c>
      <c r="R14" s="53">
        <f t="shared" si="1"/>
        <v>1.0664702819463127E-2</v>
      </c>
      <c r="S14" s="26">
        <f t="shared" si="7"/>
        <v>20000</v>
      </c>
      <c r="T14" s="98">
        <f t="shared" si="2"/>
        <v>4.8071662851061445</v>
      </c>
      <c r="U14" s="98">
        <f t="shared" si="8"/>
        <v>1.7934995794767854E-2</v>
      </c>
    </row>
    <row r="15" spans="2:21" ht="15" customHeight="1" x14ac:dyDescent="0.25">
      <c r="B15" s="37">
        <v>4</v>
      </c>
      <c r="C15" s="71">
        <v>0</v>
      </c>
      <c r="D15" s="102" t="s">
        <v>37</v>
      </c>
      <c r="E15" s="30">
        <f t="shared" si="3"/>
        <v>0</v>
      </c>
      <c r="F15" s="30">
        <f t="shared" si="3"/>
        <v>0</v>
      </c>
      <c r="G15" s="30">
        <f t="shared" si="3"/>
        <v>0</v>
      </c>
      <c r="H15" s="30">
        <f t="shared" si="3"/>
        <v>1</v>
      </c>
      <c r="I15" s="70">
        <f t="shared" si="3"/>
        <v>0</v>
      </c>
      <c r="J15" s="70">
        <f t="shared" si="3"/>
        <v>0</v>
      </c>
      <c r="K15" s="30">
        <f t="shared" si="3"/>
        <v>0</v>
      </c>
      <c r="L15" s="99">
        <v>250</v>
      </c>
      <c r="M15" s="100">
        <f t="shared" si="4"/>
        <v>0</v>
      </c>
      <c r="N15" s="49">
        <v>250</v>
      </c>
      <c r="O15" s="101">
        <f t="shared" si="5"/>
        <v>8.3984534703272301E-5</v>
      </c>
      <c r="P15" s="9" t="str">
        <f t="shared" si="6"/>
        <v>4</v>
      </c>
      <c r="Q15" s="16">
        <f>IFERROR(IF(OR(S$8="",SUM($E15:$K15)=0,SUM(M$11:M$27)&gt;0),"",1/HYPGEOMDIST($B15,$I$3,$M$3,$L$3)),"")</f>
        <v>11906.954102122767</v>
      </c>
      <c r="R15" s="54">
        <f t="shared" si="1"/>
        <v>1.3997422450545383E-2</v>
      </c>
      <c r="S15" s="44">
        <f t="shared" si="7"/>
        <v>250</v>
      </c>
      <c r="T15" s="98">
        <f t="shared" si="2"/>
        <v>3.6626028838903881</v>
      </c>
      <c r="U15" s="98">
        <f t="shared" si="8"/>
        <v>7.5352543441790792E-2</v>
      </c>
    </row>
    <row r="16" spans="2:21" ht="15" customHeight="1" x14ac:dyDescent="0.25">
      <c r="B16" s="37">
        <v>3</v>
      </c>
      <c r="C16" s="71">
        <v>0</v>
      </c>
      <c r="D16" s="102" t="s">
        <v>37</v>
      </c>
      <c r="E16" s="30">
        <f t="shared" si="3"/>
        <v>0</v>
      </c>
      <c r="F16" s="30">
        <f t="shared" si="3"/>
        <v>0</v>
      </c>
      <c r="G16" s="30">
        <f t="shared" si="3"/>
        <v>0</v>
      </c>
      <c r="H16" s="30">
        <f t="shared" si="3"/>
        <v>0</v>
      </c>
      <c r="I16" s="70">
        <f t="shared" si="3"/>
        <v>1</v>
      </c>
      <c r="J16" s="70">
        <f t="shared" si="3"/>
        <v>0</v>
      </c>
      <c r="K16" s="30">
        <f t="shared" si="3"/>
        <v>0</v>
      </c>
      <c r="L16" s="99">
        <v>25</v>
      </c>
      <c r="M16" s="100">
        <f t="shared" si="4"/>
        <v>0</v>
      </c>
      <c r="N16" s="49">
        <v>25</v>
      </c>
      <c r="O16" s="101">
        <f>IFERROR(IF(S16=0,0,1/Q16),"")</f>
        <v>3.0607697091859175E-3</v>
      </c>
      <c r="P16" s="10" t="str">
        <f t="shared" si="6"/>
        <v>3</v>
      </c>
      <c r="Q16" s="17">
        <f>IFERROR(IF(OR(S$8="",SUM($E16:$K16)=0,SUM(M$11:M$27)&gt;0),"",1/HYPGEOMDIST($B16,$I$3,$M$3,$L$3)),"")</f>
        <v>326.71520402166198</v>
      </c>
      <c r="R16" s="55">
        <f t="shared" si="1"/>
        <v>5.101282848643196E-2</v>
      </c>
      <c r="S16" s="45">
        <f t="shared" si="7"/>
        <v>25</v>
      </c>
      <c r="T16" s="98">
        <f t="shared" si="2"/>
        <v>1.0049824986284621</v>
      </c>
      <c r="U16" s="98">
        <f t="shared" si="8"/>
        <v>0.51012830348102478</v>
      </c>
    </row>
    <row r="17" spans="2:24" ht="15" customHeight="1" x14ac:dyDescent="0.25">
      <c r="B17" s="37">
        <v>2</v>
      </c>
      <c r="C17" s="71">
        <v>0</v>
      </c>
      <c r="D17" s="102" t="s">
        <v>37</v>
      </c>
      <c r="E17" s="30">
        <f t="shared" si="3"/>
        <v>0</v>
      </c>
      <c r="F17" s="30">
        <f t="shared" si="3"/>
        <v>0</v>
      </c>
      <c r="G17" s="30">
        <f t="shared" si="3"/>
        <v>0</v>
      </c>
      <c r="H17" s="30">
        <f t="shared" si="3"/>
        <v>0</v>
      </c>
      <c r="I17" s="70">
        <f t="shared" si="3"/>
        <v>0</v>
      </c>
      <c r="J17" s="70">
        <f t="shared" si="3"/>
        <v>1</v>
      </c>
      <c r="K17" s="30">
        <f t="shared" si="3"/>
        <v>0</v>
      </c>
      <c r="L17" s="99">
        <v>2.5</v>
      </c>
      <c r="M17" s="100">
        <f t="shared" si="4"/>
        <v>0</v>
      </c>
      <c r="N17" s="49">
        <v>2.5</v>
      </c>
      <c r="O17" s="101">
        <f t="shared" si="5"/>
        <v>4.6485439958261182E-2</v>
      </c>
      <c r="P17" s="64" t="str">
        <f t="shared" si="6"/>
        <v>2</v>
      </c>
      <c r="Q17" s="65">
        <f>IFERROR(IF(OR(S$8="",SUM($E17:$K17)=0,SUM(M$11:M$27)&gt;0),"",1/HYPGEOMDIST($B17,$I$3,$M$3,$L$3)),"")</f>
        <v>21.512112198957137</v>
      </c>
      <c r="R17" s="66">
        <f t="shared" si="1"/>
        <v>7.7475733263768651E-2</v>
      </c>
      <c r="S17" s="67">
        <f t="shared" si="7"/>
        <v>2.5</v>
      </c>
      <c r="T17" s="98">
        <f t="shared" si="2"/>
        <v>1.5112203466952887</v>
      </c>
      <c r="U17" s="98">
        <f t="shared" si="8"/>
        <v>0.77475736091180758</v>
      </c>
    </row>
    <row r="18" spans="2:24" ht="15" customHeight="1" x14ac:dyDescent="0.25">
      <c r="B18" s="37">
        <v>1</v>
      </c>
      <c r="C18" s="71">
        <v>0</v>
      </c>
      <c r="D18" s="102" t="s">
        <v>37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70">
        <f t="shared" si="3"/>
        <v>0</v>
      </c>
      <c r="J18" s="70">
        <f t="shared" si="3"/>
        <v>0</v>
      </c>
      <c r="K18" s="30">
        <f t="shared" si="3"/>
        <v>1</v>
      </c>
      <c r="L18" s="99">
        <v>0.75</v>
      </c>
      <c r="M18" s="100">
        <f>IF(OR(N18&lt;0,N18&gt;L18*100),1,0)</f>
        <v>0</v>
      </c>
      <c r="N18" s="49">
        <v>0.75</v>
      </c>
      <c r="O18" s="101">
        <f t="shared" si="5"/>
        <v>0.29750681573287152</v>
      </c>
      <c r="P18" s="46" t="str">
        <f t="shared" si="6"/>
        <v>1</v>
      </c>
      <c r="Q18" s="47">
        <f>IFERROR(IF(OR(N18=0,S$8="",SUM($E18:$K18)=0,SUM(M$11:M$27)&gt;0),"",1/HYPGEOMDIST($B18,$I$3,$M$3,$L$3)),"")</f>
        <v>3.3612675310870532</v>
      </c>
      <c r="R18" s="57">
        <f t="shared" si="1"/>
        <v>0.14875340786643576</v>
      </c>
      <c r="S18" s="48">
        <f>IFERROR(IF(OR(N18=0,S$8="",Q18="",SUM(M$11:M$27)&gt;0),"",(N$12*$E18+N$13*$F18+N$14*$G18+N$15*$H18+N$16*$I18+N$17*$J18+N$18*$K18)/R$8),"")</f>
        <v>0.75</v>
      </c>
      <c r="T18" s="98">
        <f t="shared" si="2"/>
        <v>2.9015430656549532</v>
      </c>
      <c r="U18" s="98">
        <f t="shared" si="8"/>
        <v>1.4875341329506699</v>
      </c>
    </row>
    <row r="19" spans="2:24" ht="15" customHeight="1" x14ac:dyDescent="0.25">
      <c r="P19" s="12" t="s">
        <v>8</v>
      </c>
      <c r="Q19" s="19">
        <f>IFERROR(1/SUM(O11:O18),"")</f>
        <v>2.8807002274515252</v>
      </c>
      <c r="R19" s="58">
        <f>IF(SUM(R11:R18)=0,"",SUM(R11:R18))</f>
        <v>0.35886899884079709</v>
      </c>
      <c r="S19" s="20">
        <f>IFERROR(S9*R19,"")</f>
        <v>0.53830349826119561</v>
      </c>
      <c r="U19" s="98"/>
    </row>
    <row r="20" spans="2:24" ht="15" customHeight="1" x14ac:dyDescent="0.25">
      <c r="P20" s="13"/>
      <c r="Q20" s="13"/>
      <c r="R20" s="101">
        <f>IFERROR(AVERAGE(R11:R18),"")</f>
        <v>5.1266999834399585E-2</v>
      </c>
      <c r="S20" s="13"/>
      <c r="T20" s="98">
        <f>IFERROR(AVERAGE(T11:T18),"")</f>
        <v>7.8390105734259583</v>
      </c>
      <c r="U20" s="98">
        <f>IF(SUM(U11:U18)=0,"",SUM(U11:U18))</f>
        <v>2.8862450990755475</v>
      </c>
    </row>
    <row r="22" spans="2:24" x14ac:dyDescent="0.25">
      <c r="B22" s="39" t="s">
        <v>36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2:24" x14ac:dyDescent="0.25">
      <c r="B23" s="39" t="s">
        <v>35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2:24" ht="15" thickBot="1" x14ac:dyDescent="0.3">
      <c r="T24" s="73"/>
      <c r="U24" s="73"/>
      <c r="V24" s="73"/>
      <c r="W24" s="73"/>
      <c r="X24" s="73"/>
    </row>
    <row r="25" spans="2:24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2:24" x14ac:dyDescent="0.25">
      <c r="B26" s="74" t="s">
        <v>11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</row>
    <row r="27" spans="2:24" ht="7.5" customHeight="1" x14ac:dyDescent="0.25">
      <c r="B27"/>
      <c r="C27"/>
      <c r="D27"/>
      <c r="E27"/>
      <c r="F27"/>
      <c r="G27"/>
      <c r="H27"/>
    </row>
    <row r="28" spans="2:24" x14ac:dyDescent="0.25">
      <c r="B28" s="75" t="s">
        <v>12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</row>
  </sheetData>
  <sheetProtection algorithmName="SHA-512" hashValue="jN8N6tYRhq7Fd8Wx86+Y+NUtfkpJYQv0nXVL96D4gMYj+yEre9YA7jDZUJpU5w1sEm0naiZhhaE5Bblwrl8YAQ==" saltValue="5vtUdj7evK8ic1wWtjl7qw==" spinCount="100000" sheet="1" objects="1" scenarios="1" selectLockedCells="1"/>
  <mergeCells count="16">
    <mergeCell ref="B3:H3"/>
    <mergeCell ref="I3:J3"/>
    <mergeCell ref="P2:R2"/>
    <mergeCell ref="B4:H4"/>
    <mergeCell ref="I4:J4"/>
    <mergeCell ref="P3:R3"/>
    <mergeCell ref="P4:R4"/>
    <mergeCell ref="B28:X28"/>
    <mergeCell ref="P5:R5"/>
    <mergeCell ref="B5:H5"/>
    <mergeCell ref="I5:J5"/>
    <mergeCell ref="B8:C9"/>
    <mergeCell ref="P8:Q8"/>
    <mergeCell ref="N9:N10"/>
    <mergeCell ref="P9:Q9"/>
    <mergeCell ref="B26:X26"/>
  </mergeCells>
  <conditionalFormatting sqref="R19">
    <cfRule type="cellIs" dxfId="16" priority="18" stopIfTrue="1" operator="greaterThanOrEqual">
      <formula>0.6</formula>
    </cfRule>
    <cfRule type="cellIs" dxfId="15" priority="19" stopIfTrue="1" operator="greaterThanOrEqual">
      <formula>0.4</formula>
    </cfRule>
    <cfRule type="cellIs" dxfId="14" priority="20" stopIfTrue="1" operator="lessThan">
      <formula>0.4</formula>
    </cfRule>
  </conditionalFormatting>
  <conditionalFormatting sqref="E11:K18">
    <cfRule type="expression" dxfId="13" priority="15">
      <formula>IF(AND(E11&gt;0,E11&lt;1000000000),TRUE,FALSE)</formula>
    </cfRule>
    <cfRule type="expression" dxfId="12" priority="16">
      <formula>IF(E11=0,TRUE,FALSE)</formula>
    </cfRule>
  </conditionalFormatting>
  <conditionalFormatting sqref="E11:K18">
    <cfRule type="expression" dxfId="11" priority="17">
      <formula>IF(E11&gt;=1000000,TRUE,FALSE)</formula>
    </cfRule>
  </conditionalFormatting>
  <conditionalFormatting sqref="I4">
    <cfRule type="expression" dxfId="10" priority="14">
      <formula>IF(I4="",FALSE,IF(OR(I4&lt;1,I4&gt;1000000),TRUE,FALSE))</formula>
    </cfRule>
  </conditionalFormatting>
  <conditionalFormatting sqref="I5">
    <cfRule type="expression" dxfId="9" priority="13">
      <formula>IF(I5="",FALSE,IF(OR(I5&lt;0.01,I5&gt;100),TRUE,FALSE))</formula>
    </cfRule>
  </conditionalFormatting>
  <conditionalFormatting sqref="S9">
    <cfRule type="expression" dxfId="8" priority="10">
      <formula>IF(S9&gt;=99999999.5,TRUE,FALSE)</formula>
    </cfRule>
    <cfRule type="expression" dxfId="7" priority="11">
      <formula>IF(S9&gt;=99999.95,TRUE,FALSE)</formula>
    </cfRule>
    <cfRule type="expression" dxfId="6" priority="12">
      <formula>IF(S9&gt;=9999.995,TRUE,FALSE)</formula>
    </cfRule>
  </conditionalFormatting>
  <conditionalFormatting sqref="R11:R19">
    <cfRule type="expression" dxfId="5" priority="8">
      <formula>IF(R11&gt;=100,TRUE,FALSE)</formula>
    </cfRule>
    <cfRule type="expression" dxfId="4" priority="9">
      <formula>IF(R11&gt;=10,TRUE,FALSE)</formula>
    </cfRule>
  </conditionalFormatting>
  <conditionalFormatting sqref="N18">
    <cfRule type="expression" dxfId="3" priority="7">
      <formula>IF(N18="",FALSE,IF(OR(N18&lt;0,N18&gt;L18*100),TRUE,FALSE))</formula>
    </cfRule>
  </conditionalFormatting>
  <conditionalFormatting sqref="I3">
    <cfRule type="expression" dxfId="2" priority="67">
      <formula>IF(I3="",FALSE,IF(OR(I3&lt;M3,I3&gt;L3),TRUE,FALSE))</formula>
    </cfRule>
  </conditionalFormatting>
  <conditionalFormatting sqref="Q11">
    <cfRule type="expression" dxfId="1" priority="2">
      <formula>IF($Q$11&gt;=1000000000,TRUE,FALSE)</formula>
    </cfRule>
  </conditionalFormatting>
  <conditionalFormatting sqref="N12:N17">
    <cfRule type="expression" dxfId="0" priority="1">
      <formula>IF(N12="",FALSE,IF(OR(N12&lt;L12/100,N12&gt;L12*100),TRUE,FALSE))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LOTTO 6aus49 (DE)</vt:lpstr>
      <vt:lpstr>PowerBall (US)</vt:lpstr>
      <vt:lpstr>MegaMillions (US)</vt:lpstr>
      <vt:lpstr>EuroJackpot (DE)</vt:lpstr>
      <vt:lpstr>EuroMillions (AT)</vt:lpstr>
      <vt:lpstr>LOTTO 6aus45 (AT)</vt:lpstr>
      <vt:lpstr>SuperLotto (LH)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</dc:creator>
  <cp:lastModifiedBy>Oliver</cp:lastModifiedBy>
  <dcterms:created xsi:type="dcterms:W3CDTF">2023-01-20T19:19:35Z</dcterms:created>
  <dcterms:modified xsi:type="dcterms:W3CDTF">2023-12-06T19:50:56Z</dcterms:modified>
</cp:coreProperties>
</file>